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45" windowHeight="10710"/>
  </bookViews>
  <sheets>
    <sheet name="Приложение 4 1 (2)" sheetId="5" r:id="rId1"/>
    <sheet name="Приложение 4 1" sheetId="4" r:id="rId2"/>
    <sheet name="Лист2" sheetId="2" r:id="rId3"/>
    <sheet name="Лист3" sheetId="3" r:id="rId4"/>
  </sheets>
  <definedNames>
    <definedName name="_xlnm._FilterDatabase" localSheetId="1" hidden="1">'Приложение 4 1'!$A$7:$AA$146</definedName>
    <definedName name="_xlnm._FilterDatabase" localSheetId="0" hidden="1">'Приложение 4 1 (2)'!$A$7:$L$186</definedName>
  </definedNames>
  <calcPr calcId="162913"/>
</workbook>
</file>

<file path=xl/calcChain.xml><?xml version="1.0" encoding="utf-8"?>
<calcChain xmlns="http://schemas.openxmlformats.org/spreadsheetml/2006/main">
  <c r="AB152" i="5" l="1"/>
  <c r="AA152" i="5"/>
  <c r="Z152" i="5"/>
  <c r="X152" i="5"/>
  <c r="W152" i="5"/>
  <c r="V152" i="5"/>
  <c r="AB151" i="5"/>
  <c r="AA151" i="5"/>
  <c r="Z151" i="5"/>
  <c r="X151" i="5"/>
  <c r="W151" i="5"/>
  <c r="V151" i="5"/>
  <c r="U151" i="5" l="1"/>
  <c r="U152" i="5"/>
  <c r="T151" i="5"/>
  <c r="P181" i="5"/>
  <c r="P194" i="5" s="1"/>
  <c r="P111" i="5"/>
  <c r="O181" i="5" l="1"/>
  <c r="O194" i="5" s="1"/>
  <c r="V166" i="5" l="1"/>
  <c r="W166" i="5"/>
  <c r="X166" i="5"/>
  <c r="Y166" i="5"/>
  <c r="Z166" i="5"/>
  <c r="AA166" i="5"/>
  <c r="AB166" i="5"/>
  <c r="T182" i="5"/>
  <c r="V58" i="5"/>
  <c r="W58" i="5"/>
  <c r="X58" i="5"/>
  <c r="Z58" i="5"/>
  <c r="AA58" i="5"/>
  <c r="AB59" i="5"/>
  <c r="AB58" i="5"/>
  <c r="AB57" i="5"/>
  <c r="AB79" i="5"/>
  <c r="AB78" i="5"/>
  <c r="AB76" i="5"/>
  <c r="AB75" i="5"/>
  <c r="AB73" i="5"/>
  <c r="AB70" i="5"/>
  <c r="U166" i="5" l="1"/>
  <c r="U58" i="5"/>
  <c r="M152" i="5"/>
  <c r="E152" i="5"/>
  <c r="M151" i="5"/>
  <c r="E151" i="5"/>
  <c r="M165" i="5" l="1"/>
  <c r="AB72" i="5" l="1"/>
  <c r="AB61" i="5"/>
  <c r="AA61" i="5"/>
  <c r="Z61" i="5"/>
  <c r="X61" i="5"/>
  <c r="W61" i="5"/>
  <c r="V61" i="5"/>
  <c r="AB69" i="5"/>
  <c r="AA69" i="5"/>
  <c r="Z69" i="5"/>
  <c r="X69" i="5"/>
  <c r="W69" i="5"/>
  <c r="V69" i="5"/>
  <c r="AA72" i="5"/>
  <c r="Z72" i="5"/>
  <c r="X72" i="5"/>
  <c r="W72" i="5"/>
  <c r="V72" i="5"/>
  <c r="AA75" i="5"/>
  <c r="Z75" i="5"/>
  <c r="X75" i="5"/>
  <c r="W75" i="5"/>
  <c r="V75" i="5"/>
  <c r="AA78" i="5"/>
  <c r="Z78" i="5"/>
  <c r="X78" i="5"/>
  <c r="W78" i="5"/>
  <c r="V78" i="5"/>
  <c r="M78" i="5"/>
  <c r="M75" i="5"/>
  <c r="M72" i="5"/>
  <c r="M70" i="5"/>
  <c r="M69" i="5"/>
  <c r="M58" i="5"/>
  <c r="E58" i="5"/>
  <c r="U78" i="5" l="1"/>
  <c r="U61" i="5"/>
  <c r="U69" i="5"/>
  <c r="U72" i="5"/>
  <c r="U75" i="5"/>
  <c r="M79" i="5"/>
  <c r="M76" i="5"/>
  <c r="M73" i="5"/>
  <c r="M64" i="5"/>
  <c r="M62" i="5"/>
  <c r="M59" i="5"/>
  <c r="M57" i="5"/>
  <c r="T181" i="5"/>
  <c r="T194" i="5" s="1"/>
  <c r="M166" i="5"/>
  <c r="E166" i="5"/>
  <c r="M13" i="5"/>
  <c r="M12" i="5"/>
  <c r="M111" i="5"/>
  <c r="T11" i="5"/>
  <c r="M11" i="5" s="1"/>
  <c r="P13" i="5" l="1"/>
  <c r="S180" i="5" l="1"/>
  <c r="AB11" i="5"/>
  <c r="V165" i="5"/>
  <c r="W165" i="5"/>
  <c r="X165" i="5"/>
  <c r="Y165" i="5"/>
  <c r="Z165" i="5"/>
  <c r="AA165" i="5"/>
  <c r="AB165" i="5"/>
  <c r="O165" i="5"/>
  <c r="E165" i="5"/>
  <c r="M164" i="5"/>
  <c r="M160" i="5"/>
  <c r="M148" i="5"/>
  <c r="M143" i="5"/>
  <c r="M142" i="5"/>
  <c r="M131" i="5"/>
  <c r="M130" i="5"/>
  <c r="M102" i="5"/>
  <c r="M97" i="5"/>
  <c r="M53" i="5"/>
  <c r="O44" i="5"/>
  <c r="O30" i="5"/>
  <c r="M24" i="5"/>
  <c r="M20" i="5"/>
  <c r="M16" i="5"/>
  <c r="V11" i="5"/>
  <c r="W11" i="5"/>
  <c r="X11" i="5"/>
  <c r="Y11" i="5"/>
  <c r="Z11" i="5"/>
  <c r="AA11" i="5"/>
  <c r="E11" i="5"/>
  <c r="E164" i="5"/>
  <c r="U11" i="5" l="1"/>
  <c r="U165" i="5"/>
  <c r="M18" i="5"/>
  <c r="M188" i="5"/>
  <c r="P175" i="5"/>
  <c r="E131" i="5"/>
  <c r="V131" i="5"/>
  <c r="W131" i="5"/>
  <c r="X131" i="5"/>
  <c r="Z131" i="5"/>
  <c r="AA131" i="5"/>
  <c r="AB131" i="5"/>
  <c r="V130" i="5"/>
  <c r="W130" i="5"/>
  <c r="X130" i="5"/>
  <c r="Z130" i="5"/>
  <c r="AA130" i="5"/>
  <c r="AB130" i="5"/>
  <c r="V142" i="5"/>
  <c r="W142" i="5"/>
  <c r="X142" i="5"/>
  <c r="Z142" i="5"/>
  <c r="AA142" i="5"/>
  <c r="AB142" i="5"/>
  <c r="V143" i="5"/>
  <c r="W143" i="5"/>
  <c r="X143" i="5"/>
  <c r="Z143" i="5"/>
  <c r="AA143" i="5"/>
  <c r="AB143" i="5"/>
  <c r="U131" i="5" l="1"/>
  <c r="U130" i="5"/>
  <c r="U143" i="5"/>
  <c r="U142" i="5"/>
  <c r="AB161" i="5" l="1"/>
  <c r="AA161" i="5"/>
  <c r="Z161" i="5"/>
  <c r="Y161" i="5"/>
  <c r="X161" i="5"/>
  <c r="W161" i="5"/>
  <c r="V161" i="5"/>
  <c r="M161" i="5"/>
  <c r="E161" i="5"/>
  <c r="V120" i="5"/>
  <c r="W120" i="5"/>
  <c r="X120" i="5"/>
  <c r="M120" i="5"/>
  <c r="E120" i="5"/>
  <c r="U121" i="5"/>
  <c r="M121" i="5"/>
  <c r="E121" i="5"/>
  <c r="U161" i="5" l="1"/>
  <c r="U120" i="5"/>
  <c r="V57" i="5"/>
  <c r="W57" i="5"/>
  <c r="X57" i="5"/>
  <c r="Z57" i="5"/>
  <c r="AA57" i="5"/>
  <c r="E57" i="5"/>
  <c r="P29" i="5"/>
  <c r="M183" i="5"/>
  <c r="N181" i="5"/>
  <c r="M47" i="5"/>
  <c r="M42" i="5"/>
  <c r="M34" i="5"/>
  <c r="M19" i="5"/>
  <c r="S28" i="5"/>
  <c r="S29" i="5" s="1"/>
  <c r="O29" i="5"/>
  <c r="N29" i="5"/>
  <c r="H29" i="5"/>
  <c r="K28" i="5"/>
  <c r="K29" i="5" s="1"/>
  <c r="V181" i="5" l="1"/>
  <c r="N194" i="5"/>
  <c r="U57" i="5"/>
  <c r="AA29" i="5"/>
  <c r="AA28" i="5"/>
  <c r="Z167" i="5" l="1"/>
  <c r="AB27" i="5"/>
  <c r="V27" i="5"/>
  <c r="W27" i="5"/>
  <c r="X27" i="5"/>
  <c r="Y27" i="5"/>
  <c r="Z27" i="5"/>
  <c r="AA27" i="5"/>
  <c r="M27" i="5"/>
  <c r="E27" i="5"/>
  <c r="AA25" i="5"/>
  <c r="AA24" i="5"/>
  <c r="U27" i="5" l="1"/>
  <c r="T29" i="5" l="1"/>
  <c r="AB20" i="5"/>
  <c r="M29" i="5" l="1"/>
  <c r="V136" i="5"/>
  <c r="W136" i="5"/>
  <c r="X136" i="5"/>
  <c r="M136" i="5"/>
  <c r="U136" i="5" l="1"/>
  <c r="L187" i="5"/>
  <c r="K180" i="5"/>
  <c r="K187" i="5" s="1"/>
  <c r="L178" i="5"/>
  <c r="L183" i="5"/>
  <c r="AB183" i="5"/>
  <c r="V63" i="5" l="1"/>
  <c r="W63" i="5"/>
  <c r="X63" i="5"/>
  <c r="Z63" i="5"/>
  <c r="AA63" i="5"/>
  <c r="AB63" i="5"/>
  <c r="N39" i="5"/>
  <c r="O39" i="5"/>
  <c r="L39" i="5"/>
  <c r="N43" i="5"/>
  <c r="O43" i="5"/>
  <c r="P43" i="5"/>
  <c r="Q43" i="5"/>
  <c r="R43" i="5"/>
  <c r="S43" i="5"/>
  <c r="T43" i="5"/>
  <c r="M63" i="5"/>
  <c r="L36" i="5"/>
  <c r="N36" i="5"/>
  <c r="Q36" i="5"/>
  <c r="K36" i="5"/>
  <c r="N14" i="5"/>
  <c r="V14" i="5" s="1"/>
  <c r="W17" i="5"/>
  <c r="W18" i="5"/>
  <c r="W19" i="5"/>
  <c r="W20" i="5"/>
  <c r="W21" i="5"/>
  <c r="W22" i="5"/>
  <c r="W23" i="5"/>
  <c r="W24" i="5"/>
  <c r="W25" i="5"/>
  <c r="W26" i="5"/>
  <c r="W16" i="5"/>
  <c r="U63" i="5" l="1"/>
  <c r="M157" i="5"/>
  <c r="L29" i="5"/>
  <c r="L180" i="5"/>
  <c r="N180" i="5"/>
  <c r="O180" i="5"/>
  <c r="P180" i="5"/>
  <c r="Q180" i="5"/>
  <c r="R180" i="5"/>
  <c r="T180" i="5"/>
  <c r="O182" i="5"/>
  <c r="M140" i="5"/>
  <c r="M118" i="5"/>
  <c r="Q181" i="5"/>
  <c r="Q194" i="5" s="1"/>
  <c r="R181" i="5"/>
  <c r="R194" i="5" s="1"/>
  <c r="S181" i="5"/>
  <c r="S194" i="5" s="1"/>
  <c r="M181" i="5" l="1"/>
  <c r="M194" i="5" s="1"/>
  <c r="H179" i="5"/>
  <c r="O46" i="5"/>
  <c r="M32" i="5"/>
  <c r="M38" i="5"/>
  <c r="N32" i="5"/>
  <c r="N46" i="5" s="1"/>
  <c r="N31" i="5"/>
  <c r="N45" i="5" s="1"/>
  <c r="N18" i="5"/>
  <c r="O18" i="5"/>
  <c r="M46" i="5" l="1"/>
  <c r="H187" i="5"/>
  <c r="O45" i="5"/>
  <c r="O49" i="5" s="1"/>
  <c r="O36" i="5"/>
  <c r="N49" i="5"/>
  <c r="M31" i="5"/>
  <c r="AB107" i="5"/>
  <c r="AA107" i="5"/>
  <c r="Z107" i="5"/>
  <c r="X107" i="5"/>
  <c r="W107" i="5"/>
  <c r="V107" i="5"/>
  <c r="M107" i="5"/>
  <c r="E107" i="5"/>
  <c r="Y156" i="5"/>
  <c r="M156" i="5"/>
  <c r="L156" i="5"/>
  <c r="AB156" i="5" s="1"/>
  <c r="K156" i="5"/>
  <c r="AA156" i="5" s="1"/>
  <c r="J156" i="5"/>
  <c r="Z156" i="5" s="1"/>
  <c r="H156" i="5"/>
  <c r="X156" i="5" s="1"/>
  <c r="G156" i="5"/>
  <c r="F156" i="5"/>
  <c r="V156" i="5" s="1"/>
  <c r="V155" i="5"/>
  <c r="E155" i="5"/>
  <c r="M45" i="5" l="1"/>
  <c r="U107" i="5"/>
  <c r="E156" i="5"/>
  <c r="W156" i="5"/>
  <c r="U156" i="5" s="1"/>
  <c r="E130" i="5"/>
  <c r="H163" i="5" l="1"/>
  <c r="L179" i="5"/>
  <c r="J178" i="5"/>
  <c r="J179" i="5"/>
  <c r="G179" i="5"/>
  <c r="F179" i="5"/>
  <c r="F178" i="5"/>
  <c r="L146" i="5"/>
  <c r="K146" i="5"/>
  <c r="H60" i="5" l="1"/>
  <c r="E63" i="5"/>
  <c r="H74" i="5" l="1"/>
  <c r="H71" i="5"/>
  <c r="I184" i="5" l="1"/>
  <c r="N147" i="5" l="1"/>
  <c r="V147" i="5" s="1"/>
  <c r="O147" i="5"/>
  <c r="P147" i="5"/>
  <c r="X147" i="5" s="1"/>
  <c r="Q147" i="5"/>
  <c r="R147" i="5"/>
  <c r="Z147" i="5" s="1"/>
  <c r="S147" i="5"/>
  <c r="T147" i="5"/>
  <c r="AB147" i="5" s="1"/>
  <c r="AA147" i="5" l="1"/>
  <c r="M147" i="5"/>
  <c r="W147" i="5"/>
  <c r="E147" i="5"/>
  <c r="L150" i="5"/>
  <c r="E183" i="5"/>
  <c r="H148" i="5"/>
  <c r="U147" i="5" l="1"/>
  <c r="H68" i="5"/>
  <c r="H56" i="5"/>
  <c r="H77" i="5"/>
  <c r="H76" i="5" l="1"/>
  <c r="H73" i="5"/>
  <c r="H70" i="5"/>
  <c r="H62" i="5"/>
  <c r="H59" i="5"/>
  <c r="I158" i="5" l="1"/>
  <c r="H162" i="5" l="1"/>
  <c r="Y26" i="5" l="1"/>
  <c r="Y23" i="5"/>
  <c r="S182" i="5"/>
  <c r="AA182" i="5" s="1"/>
  <c r="R182" i="5"/>
  <c r="Q182" i="5"/>
  <c r="Y182" i="5" s="1"/>
  <c r="X182" i="5"/>
  <c r="N182" i="5"/>
  <c r="X180" i="5"/>
  <c r="V180" i="5"/>
  <c r="Y179" i="5"/>
  <c r="AB176" i="5"/>
  <c r="AA176" i="5"/>
  <c r="Z176" i="5"/>
  <c r="Y176" i="5"/>
  <c r="X176" i="5"/>
  <c r="W176" i="5"/>
  <c r="V176" i="5"/>
  <c r="M176" i="5"/>
  <c r="T175" i="5"/>
  <c r="S175" i="5"/>
  <c r="AA175" i="5" s="1"/>
  <c r="R175" i="5"/>
  <c r="Q175" i="5"/>
  <c r="O175" i="5"/>
  <c r="N175" i="5"/>
  <c r="Y174" i="5"/>
  <c r="W174" i="5"/>
  <c r="V174" i="5"/>
  <c r="T173" i="5"/>
  <c r="S173" i="5"/>
  <c r="R173" i="5"/>
  <c r="Q173" i="5"/>
  <c r="Y173" i="5" s="1"/>
  <c r="P173" i="5"/>
  <c r="P179" i="5" s="1"/>
  <c r="X179" i="5" s="1"/>
  <c r="O173" i="5"/>
  <c r="O179" i="5" s="1"/>
  <c r="W179" i="5" s="1"/>
  <c r="N173" i="5"/>
  <c r="N179" i="5" s="1"/>
  <c r="Y172" i="5"/>
  <c r="V172" i="5"/>
  <c r="M172" i="5"/>
  <c r="AB171" i="5"/>
  <c r="AA171" i="5"/>
  <c r="Z171" i="5"/>
  <c r="Y171" i="5"/>
  <c r="X171" i="5"/>
  <c r="W171" i="5"/>
  <c r="V171" i="5"/>
  <c r="M171" i="5"/>
  <c r="T170" i="5"/>
  <c r="AB170" i="5" s="1"/>
  <c r="S170" i="5"/>
  <c r="AA170" i="5" s="1"/>
  <c r="R170" i="5"/>
  <c r="Z170" i="5" s="1"/>
  <c r="Q170" i="5"/>
  <c r="Y170" i="5" s="1"/>
  <c r="P170" i="5"/>
  <c r="X170" i="5" s="1"/>
  <c r="O170" i="5"/>
  <c r="W170" i="5" s="1"/>
  <c r="N170" i="5"/>
  <c r="V170" i="5" s="1"/>
  <c r="Y169" i="5"/>
  <c r="M169" i="5"/>
  <c r="AB168" i="5"/>
  <c r="AA168" i="5"/>
  <c r="Z168" i="5"/>
  <c r="Y168" i="5"/>
  <c r="X168" i="5"/>
  <c r="W168" i="5"/>
  <c r="V168" i="5"/>
  <c r="M168" i="5"/>
  <c r="AB167" i="5"/>
  <c r="AA167" i="5"/>
  <c r="Y167" i="5"/>
  <c r="X167" i="5"/>
  <c r="W167" i="5"/>
  <c r="V167" i="5"/>
  <c r="M167" i="5"/>
  <c r="AB164" i="5"/>
  <c r="AA164" i="5"/>
  <c r="Z164" i="5"/>
  <c r="Y164" i="5"/>
  <c r="X164" i="5"/>
  <c r="W164" i="5"/>
  <c r="V164" i="5"/>
  <c r="AB163" i="5"/>
  <c r="AA163" i="5"/>
  <c r="Z163" i="5"/>
  <c r="Y163" i="5"/>
  <c r="X163" i="5"/>
  <c r="W163" i="5"/>
  <c r="V163" i="5"/>
  <c r="M163" i="5"/>
  <c r="AB162" i="5"/>
  <c r="AA162" i="5"/>
  <c r="Z162" i="5"/>
  <c r="Y162" i="5"/>
  <c r="X162" i="5"/>
  <c r="W162" i="5"/>
  <c r="V162" i="5"/>
  <c r="M162" i="5"/>
  <c r="AB160" i="5"/>
  <c r="AA160" i="5"/>
  <c r="Z160" i="5"/>
  <c r="Y160" i="5"/>
  <c r="X160" i="5"/>
  <c r="W160" i="5"/>
  <c r="V160" i="5"/>
  <c r="AB159" i="5"/>
  <c r="AA159" i="5"/>
  <c r="Z159" i="5"/>
  <c r="Y159" i="5"/>
  <c r="X159" i="5"/>
  <c r="W159" i="5"/>
  <c r="V159" i="5"/>
  <c r="M159" i="5"/>
  <c r="AB158" i="5"/>
  <c r="AA158" i="5"/>
  <c r="Z158" i="5"/>
  <c r="Y158" i="5"/>
  <c r="X158" i="5"/>
  <c r="W158" i="5"/>
  <c r="V158" i="5"/>
  <c r="M158" i="5"/>
  <c r="AB157" i="5"/>
  <c r="AA157" i="5"/>
  <c r="Z157" i="5"/>
  <c r="Y157" i="5"/>
  <c r="X157" i="5"/>
  <c r="W157" i="5"/>
  <c r="V157" i="5"/>
  <c r="Y154" i="5"/>
  <c r="M154" i="5"/>
  <c r="V153" i="5"/>
  <c r="M150" i="5"/>
  <c r="AB149" i="5"/>
  <c r="AA149" i="5"/>
  <c r="Z149" i="5"/>
  <c r="Y149" i="5"/>
  <c r="X149" i="5"/>
  <c r="W149" i="5"/>
  <c r="V149" i="5"/>
  <c r="M149" i="5"/>
  <c r="AB148" i="5"/>
  <c r="AA148" i="5"/>
  <c r="Z148" i="5"/>
  <c r="Y148" i="5"/>
  <c r="X148" i="5"/>
  <c r="W148" i="5"/>
  <c r="V148" i="5"/>
  <c r="Z146" i="5"/>
  <c r="V146" i="5"/>
  <c r="M146" i="5"/>
  <c r="AB145" i="5"/>
  <c r="AA145" i="5"/>
  <c r="Z145" i="5"/>
  <c r="X145" i="5"/>
  <c r="W145" i="5"/>
  <c r="V145" i="5"/>
  <c r="M145" i="5"/>
  <c r="T144" i="5"/>
  <c r="S144" i="5"/>
  <c r="R144" i="5"/>
  <c r="Q144" i="5"/>
  <c r="O144" i="5"/>
  <c r="N144" i="5"/>
  <c r="M141" i="5"/>
  <c r="AB140" i="5"/>
  <c r="AA140" i="5"/>
  <c r="Z140" i="5"/>
  <c r="X140" i="5"/>
  <c r="V140" i="5"/>
  <c r="Y139" i="5"/>
  <c r="V139" i="5"/>
  <c r="M139" i="5"/>
  <c r="AB138" i="5"/>
  <c r="AA138" i="5"/>
  <c r="Z138" i="5"/>
  <c r="X138" i="5"/>
  <c r="W138" i="5"/>
  <c r="V138" i="5"/>
  <c r="M138" i="5"/>
  <c r="AB137" i="5"/>
  <c r="AA137" i="5"/>
  <c r="Z137" i="5"/>
  <c r="X137" i="5"/>
  <c r="W137" i="5"/>
  <c r="V137" i="5"/>
  <c r="M137" i="5"/>
  <c r="AB135" i="5"/>
  <c r="AA135" i="5"/>
  <c r="Z135" i="5"/>
  <c r="X135" i="5"/>
  <c r="W135" i="5"/>
  <c r="V135" i="5"/>
  <c r="M135" i="5"/>
  <c r="AB134" i="5"/>
  <c r="AA134" i="5"/>
  <c r="Z134" i="5"/>
  <c r="X134" i="5"/>
  <c r="W134" i="5"/>
  <c r="V134" i="5"/>
  <c r="M134" i="5"/>
  <c r="AB133" i="5"/>
  <c r="AA133" i="5"/>
  <c r="Z133" i="5"/>
  <c r="X133" i="5"/>
  <c r="W133" i="5"/>
  <c r="V133" i="5"/>
  <c r="M133" i="5"/>
  <c r="AB132" i="5"/>
  <c r="AA132" i="5"/>
  <c r="Z132" i="5"/>
  <c r="X132" i="5"/>
  <c r="W132" i="5"/>
  <c r="V132" i="5"/>
  <c r="M132" i="5"/>
  <c r="AB129" i="5"/>
  <c r="AA129" i="5"/>
  <c r="Z129" i="5"/>
  <c r="X129" i="5"/>
  <c r="W129" i="5"/>
  <c r="V129" i="5"/>
  <c r="M129" i="5"/>
  <c r="AB128" i="5"/>
  <c r="AA128" i="5"/>
  <c r="Z128" i="5"/>
  <c r="X128" i="5"/>
  <c r="W128" i="5"/>
  <c r="V128" i="5"/>
  <c r="M128" i="5"/>
  <c r="AB127" i="5"/>
  <c r="AA127" i="5"/>
  <c r="Z127" i="5"/>
  <c r="X127" i="5"/>
  <c r="W127" i="5"/>
  <c r="V127" i="5"/>
  <c r="M127" i="5"/>
  <c r="AB126" i="5"/>
  <c r="AA126" i="5"/>
  <c r="Z126" i="5"/>
  <c r="X126" i="5"/>
  <c r="W126" i="5"/>
  <c r="V126" i="5"/>
  <c r="M126" i="5"/>
  <c r="AB125" i="5"/>
  <c r="AA125" i="5"/>
  <c r="Z125" i="5"/>
  <c r="X125" i="5"/>
  <c r="W125" i="5"/>
  <c r="V125" i="5"/>
  <c r="M125" i="5"/>
  <c r="AB124" i="5"/>
  <c r="AA124" i="5"/>
  <c r="Z124" i="5"/>
  <c r="X124" i="5"/>
  <c r="W124" i="5"/>
  <c r="V124" i="5"/>
  <c r="M124" i="5"/>
  <c r="AB123" i="5"/>
  <c r="AA123" i="5"/>
  <c r="Z123" i="5"/>
  <c r="X123" i="5"/>
  <c r="W123" i="5"/>
  <c r="V123" i="5"/>
  <c r="M123" i="5"/>
  <c r="AB122" i="5"/>
  <c r="AA122" i="5"/>
  <c r="Z122" i="5"/>
  <c r="X122" i="5"/>
  <c r="W122" i="5"/>
  <c r="V122" i="5"/>
  <c r="M122" i="5"/>
  <c r="AB119" i="5"/>
  <c r="AA119" i="5"/>
  <c r="Z119" i="5"/>
  <c r="X119" i="5"/>
  <c r="W119" i="5"/>
  <c r="V119" i="5"/>
  <c r="M119" i="5"/>
  <c r="AB118" i="5"/>
  <c r="AA118" i="5"/>
  <c r="Z118" i="5"/>
  <c r="X118" i="5"/>
  <c r="W118" i="5"/>
  <c r="V118" i="5"/>
  <c r="AB117" i="5"/>
  <c r="AA117" i="5"/>
  <c r="Z117" i="5"/>
  <c r="X117" i="5"/>
  <c r="W117" i="5"/>
  <c r="V117" i="5"/>
  <c r="M117" i="5"/>
  <c r="AB116" i="5"/>
  <c r="AA116" i="5"/>
  <c r="Z116" i="5"/>
  <c r="X116" i="5"/>
  <c r="W116" i="5"/>
  <c r="V116" i="5"/>
  <c r="M116" i="5"/>
  <c r="AB115" i="5"/>
  <c r="AA115" i="5"/>
  <c r="Z115" i="5"/>
  <c r="W115" i="5"/>
  <c r="V115" i="5"/>
  <c r="M115" i="5"/>
  <c r="AB114" i="5"/>
  <c r="AA114" i="5"/>
  <c r="Z114" i="5"/>
  <c r="X114" i="5"/>
  <c r="W114" i="5"/>
  <c r="V114" i="5"/>
  <c r="M114" i="5"/>
  <c r="V113" i="5"/>
  <c r="AB113" i="5"/>
  <c r="Z113" i="5"/>
  <c r="X113" i="5"/>
  <c r="W113" i="5"/>
  <c r="V112" i="5"/>
  <c r="M112" i="5"/>
  <c r="AB111" i="5"/>
  <c r="AA111" i="5"/>
  <c r="Z111" i="5"/>
  <c r="X111" i="5"/>
  <c r="W111" i="5"/>
  <c r="V111" i="5"/>
  <c r="AB110" i="5"/>
  <c r="AA110" i="5"/>
  <c r="Z110" i="5"/>
  <c r="X110" i="5"/>
  <c r="W110" i="5"/>
  <c r="V110" i="5"/>
  <c r="M110" i="5"/>
  <c r="AB109" i="5"/>
  <c r="AA109" i="5"/>
  <c r="Z109" i="5"/>
  <c r="X109" i="5"/>
  <c r="W109" i="5"/>
  <c r="V109" i="5"/>
  <c r="M109" i="5"/>
  <c r="AB108" i="5"/>
  <c r="AA108" i="5"/>
  <c r="Z108" i="5"/>
  <c r="X108" i="5"/>
  <c r="W108" i="5"/>
  <c r="V108" i="5"/>
  <c r="M108" i="5"/>
  <c r="AB106" i="5"/>
  <c r="AA106" i="5"/>
  <c r="Z106" i="5"/>
  <c r="W106" i="5"/>
  <c r="V106" i="5"/>
  <c r="M106" i="5"/>
  <c r="AB105" i="5"/>
  <c r="AA105" i="5"/>
  <c r="Z105" i="5"/>
  <c r="X105" i="5"/>
  <c r="W105" i="5"/>
  <c r="V105" i="5"/>
  <c r="M105" i="5"/>
  <c r="AB104" i="5"/>
  <c r="AA104" i="5"/>
  <c r="Z104" i="5"/>
  <c r="X104" i="5"/>
  <c r="W104" i="5"/>
  <c r="V104" i="5"/>
  <c r="M104" i="5"/>
  <c r="AB103" i="5"/>
  <c r="AA103" i="5"/>
  <c r="Z103" i="5"/>
  <c r="X103" i="5"/>
  <c r="W103" i="5"/>
  <c r="V103" i="5"/>
  <c r="M103" i="5"/>
  <c r="AB102" i="5"/>
  <c r="Z102" i="5"/>
  <c r="X102" i="5"/>
  <c r="W102" i="5"/>
  <c r="V102" i="5"/>
  <c r="AB101" i="5"/>
  <c r="AA101" i="5"/>
  <c r="Z101" i="5"/>
  <c r="W101" i="5"/>
  <c r="V101" i="5"/>
  <c r="M101" i="5"/>
  <c r="AB100" i="5"/>
  <c r="AA100" i="5"/>
  <c r="Z100" i="5"/>
  <c r="X100" i="5"/>
  <c r="W100" i="5"/>
  <c r="V100" i="5"/>
  <c r="M100" i="5"/>
  <c r="AB99" i="5"/>
  <c r="AA99" i="5"/>
  <c r="Z99" i="5"/>
  <c r="X99" i="5"/>
  <c r="W99" i="5"/>
  <c r="V99" i="5"/>
  <c r="M99" i="5"/>
  <c r="AB98" i="5"/>
  <c r="AA98" i="5"/>
  <c r="Z98" i="5"/>
  <c r="X98" i="5"/>
  <c r="W98" i="5"/>
  <c r="V98" i="5"/>
  <c r="M98" i="5"/>
  <c r="AB97" i="5"/>
  <c r="AA97" i="5"/>
  <c r="Z97" i="5"/>
  <c r="X97" i="5"/>
  <c r="W97" i="5"/>
  <c r="V97" i="5"/>
  <c r="AB96" i="5"/>
  <c r="AA96" i="5"/>
  <c r="Z96" i="5"/>
  <c r="X96" i="5"/>
  <c r="W96" i="5"/>
  <c r="V96" i="5"/>
  <c r="M96" i="5"/>
  <c r="AB95" i="5"/>
  <c r="AA95" i="5"/>
  <c r="Z95" i="5"/>
  <c r="X95" i="5"/>
  <c r="W95" i="5"/>
  <c r="V95" i="5"/>
  <c r="M95" i="5"/>
  <c r="AB94" i="5"/>
  <c r="Z94" i="5"/>
  <c r="X94" i="5"/>
  <c r="W94" i="5"/>
  <c r="V94" i="5"/>
  <c r="M94" i="5"/>
  <c r="AB93" i="5"/>
  <c r="AA93" i="5"/>
  <c r="Z93" i="5"/>
  <c r="X93" i="5"/>
  <c r="W93" i="5"/>
  <c r="V93" i="5"/>
  <c r="M93" i="5"/>
  <c r="AB92" i="5"/>
  <c r="AA92" i="5"/>
  <c r="Z92" i="5"/>
  <c r="X92" i="5"/>
  <c r="W92" i="5"/>
  <c r="V92" i="5"/>
  <c r="M92" i="5"/>
  <c r="AB91" i="5"/>
  <c r="AA91" i="5"/>
  <c r="Z91" i="5"/>
  <c r="X91" i="5"/>
  <c r="W91" i="5"/>
  <c r="V91" i="5"/>
  <c r="M91" i="5"/>
  <c r="AB90" i="5"/>
  <c r="AA90" i="5"/>
  <c r="Z90" i="5"/>
  <c r="X90" i="5"/>
  <c r="W90" i="5"/>
  <c r="V90" i="5"/>
  <c r="M90" i="5"/>
  <c r="AB89" i="5"/>
  <c r="AA89" i="5"/>
  <c r="Z89" i="5"/>
  <c r="X89" i="5"/>
  <c r="W89" i="5"/>
  <c r="V89" i="5"/>
  <c r="M89" i="5"/>
  <c r="AB88" i="5"/>
  <c r="AA88" i="5"/>
  <c r="Z88" i="5"/>
  <c r="X88" i="5"/>
  <c r="W88" i="5"/>
  <c r="V88" i="5"/>
  <c r="M88" i="5"/>
  <c r="AB87" i="5"/>
  <c r="AA87" i="5"/>
  <c r="Z87" i="5"/>
  <c r="X87" i="5"/>
  <c r="W87" i="5"/>
  <c r="V87" i="5"/>
  <c r="M87" i="5"/>
  <c r="AB86" i="5"/>
  <c r="AA86" i="5"/>
  <c r="Z86" i="5"/>
  <c r="X86" i="5"/>
  <c r="W86" i="5"/>
  <c r="V86" i="5"/>
  <c r="M86" i="5"/>
  <c r="AB85" i="5"/>
  <c r="AA85" i="5"/>
  <c r="Z85" i="5"/>
  <c r="X85" i="5"/>
  <c r="W85" i="5"/>
  <c r="V85" i="5"/>
  <c r="M85" i="5"/>
  <c r="AB84" i="5"/>
  <c r="AA84" i="5"/>
  <c r="Z84" i="5"/>
  <c r="X84" i="5"/>
  <c r="W84" i="5"/>
  <c r="V84" i="5"/>
  <c r="M84" i="5"/>
  <c r="AB83" i="5"/>
  <c r="AA83" i="5"/>
  <c r="Z83" i="5"/>
  <c r="X83" i="5"/>
  <c r="W83" i="5"/>
  <c r="V83" i="5"/>
  <c r="M83" i="5"/>
  <c r="AB82" i="5"/>
  <c r="AA82" i="5"/>
  <c r="Z82" i="5"/>
  <c r="X82" i="5"/>
  <c r="W82" i="5"/>
  <c r="V82" i="5"/>
  <c r="M82" i="5"/>
  <c r="AB81" i="5"/>
  <c r="AA81" i="5"/>
  <c r="Z81" i="5"/>
  <c r="X81" i="5"/>
  <c r="V81" i="5"/>
  <c r="M80" i="5"/>
  <c r="AA79" i="5"/>
  <c r="Z79" i="5"/>
  <c r="X79" i="5"/>
  <c r="W79" i="5"/>
  <c r="V79" i="5"/>
  <c r="AB77" i="5"/>
  <c r="AA77" i="5"/>
  <c r="Z77" i="5"/>
  <c r="X77" i="5"/>
  <c r="W77" i="5"/>
  <c r="V77" i="5"/>
  <c r="M77" i="5"/>
  <c r="AA76" i="5"/>
  <c r="Z76" i="5"/>
  <c r="X76" i="5"/>
  <c r="W76" i="5"/>
  <c r="V76" i="5"/>
  <c r="AB74" i="5"/>
  <c r="AA74" i="5"/>
  <c r="Z74" i="5"/>
  <c r="X74" i="5"/>
  <c r="W74" i="5"/>
  <c r="V74" i="5"/>
  <c r="M74" i="5"/>
  <c r="AA73" i="5"/>
  <c r="Z73" i="5"/>
  <c r="X73" i="5"/>
  <c r="W73" i="5"/>
  <c r="V73" i="5"/>
  <c r="AB71" i="5"/>
  <c r="AA71" i="5"/>
  <c r="Z71" i="5"/>
  <c r="X71" i="5"/>
  <c r="W71" i="5"/>
  <c r="V71" i="5"/>
  <c r="M71" i="5"/>
  <c r="AA70" i="5"/>
  <c r="Z70" i="5"/>
  <c r="X70" i="5"/>
  <c r="W70" i="5"/>
  <c r="V70" i="5"/>
  <c r="AB68" i="5"/>
  <c r="S68" i="5"/>
  <c r="AA68" i="5" s="1"/>
  <c r="R68" i="5"/>
  <c r="Z68" i="5" s="1"/>
  <c r="Q68" i="5"/>
  <c r="X68" i="5"/>
  <c r="O68" i="5"/>
  <c r="W68" i="5" s="1"/>
  <c r="N68" i="5"/>
  <c r="V68" i="5" s="1"/>
  <c r="M67" i="5"/>
  <c r="AB66" i="5"/>
  <c r="AA66" i="5"/>
  <c r="Z66" i="5"/>
  <c r="W66" i="5"/>
  <c r="V66" i="5"/>
  <c r="M66" i="5"/>
  <c r="AB65" i="5"/>
  <c r="AA65" i="5"/>
  <c r="Z65" i="5"/>
  <c r="X65" i="5"/>
  <c r="W65" i="5"/>
  <c r="V65" i="5"/>
  <c r="M65" i="5"/>
  <c r="AB64" i="5"/>
  <c r="AA64" i="5"/>
  <c r="Z64" i="5"/>
  <c r="X64" i="5"/>
  <c r="W64" i="5"/>
  <c r="V64" i="5"/>
  <c r="AB62" i="5"/>
  <c r="AA62" i="5"/>
  <c r="Z62" i="5"/>
  <c r="X62" i="5"/>
  <c r="W62" i="5"/>
  <c r="V62" i="5"/>
  <c r="AB60" i="5"/>
  <c r="AA60" i="5"/>
  <c r="Z60" i="5"/>
  <c r="X60" i="5"/>
  <c r="W60" i="5"/>
  <c r="V60" i="5"/>
  <c r="M60" i="5"/>
  <c r="AA59" i="5"/>
  <c r="Z59" i="5"/>
  <c r="X59" i="5"/>
  <c r="W59" i="5"/>
  <c r="V59" i="5"/>
  <c r="AB56" i="5"/>
  <c r="S56" i="5"/>
  <c r="AA56" i="5" s="1"/>
  <c r="R56" i="5"/>
  <c r="Z56" i="5" s="1"/>
  <c r="Q56" i="5"/>
  <c r="P56" i="5"/>
  <c r="X56" i="5" s="1"/>
  <c r="O56" i="5"/>
  <c r="W56" i="5" s="1"/>
  <c r="N56" i="5"/>
  <c r="V56" i="5" s="1"/>
  <c r="M55" i="5"/>
  <c r="AB54" i="5"/>
  <c r="AA54" i="5"/>
  <c r="Z54" i="5"/>
  <c r="X54" i="5"/>
  <c r="W54" i="5"/>
  <c r="V54" i="5"/>
  <c r="M54" i="5"/>
  <c r="AB53" i="5"/>
  <c r="AA53" i="5"/>
  <c r="Z53" i="5"/>
  <c r="W53" i="5"/>
  <c r="V53" i="5"/>
  <c r="AB52" i="5"/>
  <c r="AA52" i="5"/>
  <c r="Z52" i="5"/>
  <c r="X52" i="5"/>
  <c r="W52" i="5"/>
  <c r="V52" i="5"/>
  <c r="M52" i="5"/>
  <c r="AB51" i="5"/>
  <c r="AA51" i="5"/>
  <c r="Z51" i="5"/>
  <c r="X51" i="5"/>
  <c r="W51" i="5"/>
  <c r="V51" i="5"/>
  <c r="M51" i="5"/>
  <c r="W50" i="5"/>
  <c r="V50" i="5"/>
  <c r="AB48" i="5"/>
  <c r="Z48" i="5"/>
  <c r="Y48" i="5"/>
  <c r="X48" i="5"/>
  <c r="W48" i="5"/>
  <c r="V48" i="5"/>
  <c r="M48" i="5"/>
  <c r="AA47" i="5"/>
  <c r="Z47" i="5"/>
  <c r="Y47" i="5"/>
  <c r="W47" i="5"/>
  <c r="V47" i="5"/>
  <c r="AB46" i="5"/>
  <c r="AA46" i="5"/>
  <c r="Z46" i="5"/>
  <c r="Y46" i="5"/>
  <c r="X46" i="5"/>
  <c r="W46" i="5"/>
  <c r="V46" i="5"/>
  <c r="AB45" i="5"/>
  <c r="Z45" i="5"/>
  <c r="Y45" i="5"/>
  <c r="X45" i="5"/>
  <c r="W45" i="5"/>
  <c r="V45" i="5"/>
  <c r="V44" i="5"/>
  <c r="T44" i="5"/>
  <c r="S44" i="5"/>
  <c r="R44" i="5"/>
  <c r="Q44" i="5"/>
  <c r="P44" i="5"/>
  <c r="W44" i="5"/>
  <c r="Z43" i="5"/>
  <c r="Y43" i="5"/>
  <c r="V43" i="5"/>
  <c r="AB42" i="5"/>
  <c r="AA42" i="5"/>
  <c r="Z42" i="5"/>
  <c r="Y42" i="5"/>
  <c r="X42" i="5"/>
  <c r="W42" i="5"/>
  <c r="V42" i="5"/>
  <c r="M43" i="5"/>
  <c r="Z41" i="5"/>
  <c r="Y41" i="5"/>
  <c r="W41" i="5"/>
  <c r="V41" i="5"/>
  <c r="M41" i="5"/>
  <c r="V40" i="5"/>
  <c r="W40" i="5"/>
  <c r="AB38" i="5"/>
  <c r="AA38" i="5"/>
  <c r="Z38" i="5"/>
  <c r="Y38" i="5"/>
  <c r="X38" i="5"/>
  <c r="W38" i="5"/>
  <c r="V38" i="5"/>
  <c r="Q37" i="5"/>
  <c r="V37" i="5"/>
  <c r="Y36" i="5"/>
  <c r="AB35" i="5"/>
  <c r="AA35" i="5"/>
  <c r="Z35" i="5"/>
  <c r="Y35" i="5"/>
  <c r="X35" i="5"/>
  <c r="W35" i="5"/>
  <c r="V35" i="5"/>
  <c r="M35" i="5"/>
  <c r="AB34" i="5"/>
  <c r="AA34" i="5"/>
  <c r="Z34" i="5"/>
  <c r="Y34" i="5"/>
  <c r="X34" i="5"/>
  <c r="W34" i="5"/>
  <c r="V34" i="5"/>
  <c r="AB33" i="5"/>
  <c r="AA33" i="5"/>
  <c r="Z33" i="5"/>
  <c r="Y33" i="5"/>
  <c r="X33" i="5"/>
  <c r="W33" i="5"/>
  <c r="V33" i="5"/>
  <c r="M33" i="5"/>
  <c r="AB32" i="5"/>
  <c r="AA32" i="5"/>
  <c r="Z32" i="5"/>
  <c r="Y32" i="5"/>
  <c r="X32" i="5"/>
  <c r="W32" i="5"/>
  <c r="V32" i="5"/>
  <c r="AB31" i="5"/>
  <c r="AA31" i="5"/>
  <c r="Z31" i="5"/>
  <c r="Y31" i="5"/>
  <c r="X31" i="5"/>
  <c r="W31" i="5"/>
  <c r="V31" i="5"/>
  <c r="Y30" i="5"/>
  <c r="W30" i="5"/>
  <c r="AB28" i="5"/>
  <c r="Z28" i="5"/>
  <c r="Y28" i="5"/>
  <c r="X28" i="5"/>
  <c r="W28" i="5"/>
  <c r="V28" i="5"/>
  <c r="M28" i="5"/>
  <c r="AB26" i="5"/>
  <c r="AA26" i="5"/>
  <c r="Z26" i="5"/>
  <c r="X26" i="5"/>
  <c r="V26" i="5"/>
  <c r="M26" i="5"/>
  <c r="AB25" i="5"/>
  <c r="Z25" i="5"/>
  <c r="X25" i="5"/>
  <c r="V25" i="5"/>
  <c r="M25" i="5"/>
  <c r="AB24" i="5"/>
  <c r="Z24" i="5"/>
  <c r="X24" i="5"/>
  <c r="V24" i="5"/>
  <c r="AB23" i="5"/>
  <c r="AA23" i="5"/>
  <c r="Z23" i="5"/>
  <c r="X23" i="5"/>
  <c r="V23" i="5"/>
  <c r="M23" i="5"/>
  <c r="AB22" i="5"/>
  <c r="AA22" i="5"/>
  <c r="Z22" i="5"/>
  <c r="Y22" i="5"/>
  <c r="X22" i="5"/>
  <c r="V22" i="5"/>
  <c r="M22" i="5"/>
  <c r="AB21" i="5"/>
  <c r="AA21" i="5"/>
  <c r="Z21" i="5"/>
  <c r="Y21" i="5"/>
  <c r="X21" i="5"/>
  <c r="V21" i="5"/>
  <c r="M21" i="5"/>
  <c r="AA20" i="5"/>
  <c r="Z20" i="5"/>
  <c r="Y20" i="5"/>
  <c r="X20" i="5"/>
  <c r="V20" i="5"/>
  <c r="AB19" i="5"/>
  <c r="AA19" i="5"/>
  <c r="Z19" i="5"/>
  <c r="Y19" i="5"/>
  <c r="V19" i="5"/>
  <c r="AB18" i="5"/>
  <c r="AA18" i="5"/>
  <c r="Z18" i="5"/>
  <c r="Y18" i="5"/>
  <c r="V18" i="5"/>
  <c r="AB17" i="5"/>
  <c r="AA17" i="5"/>
  <c r="Z17" i="5"/>
  <c r="Y17" i="5"/>
  <c r="X17" i="5"/>
  <c r="V17" i="5"/>
  <c r="M17" i="5"/>
  <c r="AB16" i="5"/>
  <c r="AA16" i="5"/>
  <c r="Z16" i="5"/>
  <c r="Y16" i="5"/>
  <c r="V16" i="5"/>
  <c r="AB15" i="5"/>
  <c r="AA15" i="5"/>
  <c r="Z15" i="5"/>
  <c r="Y15" i="5"/>
  <c r="X15" i="5"/>
  <c r="W15" i="5"/>
  <c r="V15" i="5"/>
  <c r="M15" i="5"/>
  <c r="AB14" i="5"/>
  <c r="AA14" i="5"/>
  <c r="Z14" i="5"/>
  <c r="Y14" i="5"/>
  <c r="P14" i="5"/>
  <c r="O14" i="5"/>
  <c r="AB13" i="5"/>
  <c r="AA13" i="5"/>
  <c r="Z13" i="5"/>
  <c r="Y13" i="5"/>
  <c r="X13" i="5"/>
  <c r="W13" i="5"/>
  <c r="V13" i="5"/>
  <c r="AB12" i="5"/>
  <c r="AA12" i="5"/>
  <c r="Z12" i="5"/>
  <c r="Y12" i="5"/>
  <c r="X12" i="5"/>
  <c r="W12" i="5"/>
  <c r="V12" i="5"/>
  <c r="V10" i="5"/>
  <c r="N10" i="5" s="1"/>
  <c r="U79" i="5" l="1"/>
  <c r="AB173" i="5"/>
  <c r="T179" i="5"/>
  <c r="AB179" i="5" s="1"/>
  <c r="AA173" i="5"/>
  <c r="S179" i="5"/>
  <c r="V179" i="5"/>
  <c r="Z173" i="5"/>
  <c r="R179" i="5"/>
  <c r="V173" i="5"/>
  <c r="W173" i="5"/>
  <c r="O178" i="5"/>
  <c r="O177" i="5" s="1"/>
  <c r="O184" i="5" s="1"/>
  <c r="N178" i="5"/>
  <c r="N177" i="5" s="1"/>
  <c r="N184" i="5" s="1"/>
  <c r="M14" i="5"/>
  <c r="M44" i="5"/>
  <c r="M49" i="5" s="1"/>
  <c r="M144" i="5"/>
  <c r="U110" i="5"/>
  <c r="U111" i="5"/>
  <c r="W14" i="5"/>
  <c r="M180" i="5"/>
  <c r="M182" i="5"/>
  <c r="U20" i="5"/>
  <c r="P49" i="5"/>
  <c r="P50" i="5" s="1"/>
  <c r="AB180" i="5"/>
  <c r="Y37" i="5"/>
  <c r="Q39" i="5"/>
  <c r="X30" i="5"/>
  <c r="P36" i="5"/>
  <c r="U148" i="5"/>
  <c r="U56" i="5"/>
  <c r="U59" i="5"/>
  <c r="U65" i="5"/>
  <c r="U64" i="5"/>
  <c r="U62" i="5"/>
  <c r="U60" i="5"/>
  <c r="AA44" i="5"/>
  <c r="S49" i="5"/>
  <c r="AB44" i="5"/>
  <c r="T49" i="5"/>
  <c r="T50" i="5" s="1"/>
  <c r="AB50" i="5" s="1"/>
  <c r="Y44" i="5"/>
  <c r="Q49" i="5"/>
  <c r="Z44" i="5"/>
  <c r="R49" i="5"/>
  <c r="R50" i="5" s="1"/>
  <c r="Z50" i="5" s="1"/>
  <c r="Z182" i="5"/>
  <c r="U157" i="5"/>
  <c r="V144" i="5"/>
  <c r="Z144" i="5"/>
  <c r="X144" i="5"/>
  <c r="AB144" i="5"/>
  <c r="AA144" i="5"/>
  <c r="AA153" i="5"/>
  <c r="S155" i="5"/>
  <c r="W155" i="5"/>
  <c r="X153" i="5"/>
  <c r="P155" i="5"/>
  <c r="P178" i="5" s="1"/>
  <c r="AB153" i="5"/>
  <c r="Y153" i="5"/>
  <c r="Q155" i="5"/>
  <c r="Z153" i="5"/>
  <c r="R155" i="5"/>
  <c r="Y175" i="5"/>
  <c r="V175" i="5"/>
  <c r="Z175" i="5"/>
  <c r="AB175" i="5"/>
  <c r="W175" i="5"/>
  <c r="U160" i="5"/>
  <c r="U12" i="5"/>
  <c r="U13" i="5"/>
  <c r="U17" i="5"/>
  <c r="U26" i="5"/>
  <c r="U46" i="5"/>
  <c r="U117" i="5"/>
  <c r="U123" i="5"/>
  <c r="U127" i="5"/>
  <c r="U133" i="5"/>
  <c r="U171" i="5"/>
  <c r="U145" i="5"/>
  <c r="M113" i="5"/>
  <c r="U116" i="5"/>
  <c r="U126" i="5"/>
  <c r="U132" i="5"/>
  <c r="U137" i="5"/>
  <c r="U149" i="5"/>
  <c r="U164" i="5"/>
  <c r="U167" i="5"/>
  <c r="U52" i="5"/>
  <c r="U119" i="5"/>
  <c r="U125" i="5"/>
  <c r="U129" i="5"/>
  <c r="U159" i="5"/>
  <c r="U71" i="5"/>
  <c r="U77" i="5"/>
  <c r="U114" i="5"/>
  <c r="U118" i="5"/>
  <c r="U124" i="5"/>
  <c r="U128" i="5"/>
  <c r="U134" i="5"/>
  <c r="U162" i="5"/>
  <c r="U163" i="5"/>
  <c r="U135" i="5"/>
  <c r="U73" i="5"/>
  <c r="M81" i="5"/>
  <c r="W37" i="5"/>
  <c r="U122" i="5"/>
  <c r="U21" i="5"/>
  <c r="U22" i="5"/>
  <c r="U23" i="5"/>
  <c r="U32" i="5"/>
  <c r="U83" i="5"/>
  <c r="U103" i="5"/>
  <c r="U87" i="5"/>
  <c r="U91" i="5"/>
  <c r="U95" i="5"/>
  <c r="U99" i="5"/>
  <c r="U108" i="5"/>
  <c r="U15" i="5"/>
  <c r="U25" i="5"/>
  <c r="U31" i="5"/>
  <c r="U38" i="5"/>
  <c r="U51" i="5"/>
  <c r="U68" i="5"/>
  <c r="U70" i="5"/>
  <c r="U76" i="5"/>
  <c r="W81" i="5"/>
  <c r="U81" i="5" s="1"/>
  <c r="M153" i="5"/>
  <c r="M173" i="5"/>
  <c r="M175" i="5"/>
  <c r="U176" i="5"/>
  <c r="U24" i="5"/>
  <c r="U33" i="5"/>
  <c r="U34" i="5"/>
  <c r="U35" i="5"/>
  <c r="U42" i="5"/>
  <c r="U54" i="5"/>
  <c r="U74" i="5"/>
  <c r="U138" i="5"/>
  <c r="X173" i="5"/>
  <c r="X175" i="5"/>
  <c r="AA113" i="5"/>
  <c r="U113" i="5" s="1"/>
  <c r="U82" i="5"/>
  <c r="U86" i="5"/>
  <c r="U90" i="5"/>
  <c r="U98" i="5"/>
  <c r="U170" i="5"/>
  <c r="M56" i="5"/>
  <c r="U85" i="5"/>
  <c r="U89" i="5"/>
  <c r="U93" i="5"/>
  <c r="U97" i="5"/>
  <c r="U105" i="5"/>
  <c r="W140" i="5"/>
  <c r="U140" i="5" s="1"/>
  <c r="W180" i="5"/>
  <c r="V30" i="5"/>
  <c r="M68" i="5"/>
  <c r="U84" i="5"/>
  <c r="U88" i="5"/>
  <c r="U92" i="5"/>
  <c r="U96" i="5"/>
  <c r="U100" i="5"/>
  <c r="U104" i="5"/>
  <c r="U109" i="5"/>
  <c r="W144" i="5"/>
  <c r="U158" i="5"/>
  <c r="U168" i="5"/>
  <c r="M170" i="5"/>
  <c r="W153" i="5"/>
  <c r="M179" i="5" l="1"/>
  <c r="U173" i="5"/>
  <c r="O187" i="5"/>
  <c r="P177" i="5"/>
  <c r="P184" i="5" s="1"/>
  <c r="AA155" i="5"/>
  <c r="Y155" i="5"/>
  <c r="X155" i="5"/>
  <c r="Z155" i="5"/>
  <c r="AB155" i="5"/>
  <c r="X50" i="5"/>
  <c r="Y39" i="5"/>
  <c r="Q40" i="5"/>
  <c r="Y40" i="5" s="1"/>
  <c r="X37" i="5"/>
  <c r="P39" i="5"/>
  <c r="P40" i="5" s="1"/>
  <c r="Y49" i="5"/>
  <c r="Q50" i="5"/>
  <c r="Q178" i="5" s="1"/>
  <c r="S50" i="5"/>
  <c r="U144" i="5"/>
  <c r="U153" i="5"/>
  <c r="M155" i="5"/>
  <c r="U175" i="5"/>
  <c r="M190" i="5" l="1"/>
  <c r="M193" i="5" s="1"/>
  <c r="U155" i="5"/>
  <c r="AA50" i="5"/>
  <c r="U50" i="5" s="1"/>
  <c r="X40" i="5"/>
  <c r="Y50" i="5"/>
  <c r="Q177" i="5"/>
  <c r="M50" i="5"/>
  <c r="H115" i="5"/>
  <c r="X115" i="5" s="1"/>
  <c r="U115" i="5" s="1"/>
  <c r="I181" i="5"/>
  <c r="Y181" i="5" s="1"/>
  <c r="J181" i="5"/>
  <c r="Z181" i="5" s="1"/>
  <c r="K181" i="5"/>
  <c r="L47" i="5"/>
  <c r="Y177" i="5" l="1"/>
  <c r="AA181" i="5"/>
  <c r="Q185" i="5"/>
  <c r="Y178" i="5"/>
  <c r="L181" i="5"/>
  <c r="AB181" i="5" s="1"/>
  <c r="L49" i="5"/>
  <c r="AB47" i="5"/>
  <c r="H16" i="5"/>
  <c r="X16" i="5" s="1"/>
  <c r="U16" i="5" s="1"/>
  <c r="U28" i="5" l="1"/>
  <c r="H47" i="5"/>
  <c r="K102" i="5"/>
  <c r="H44" i="5"/>
  <c r="K94" i="5"/>
  <c r="AA94" i="5" s="1"/>
  <c r="U94" i="5" s="1"/>
  <c r="H18" i="5"/>
  <c r="G146" i="5"/>
  <c r="W146" i="5" s="1"/>
  <c r="E28" i="5"/>
  <c r="E24" i="5"/>
  <c r="H19" i="5"/>
  <c r="X19" i="5" s="1"/>
  <c r="U19" i="5" s="1"/>
  <c r="AA102" i="5" l="1"/>
  <c r="U102" i="5" s="1"/>
  <c r="K178" i="5"/>
  <c r="H14" i="5"/>
  <c r="X14" i="5" s="1"/>
  <c r="U14" i="5" s="1"/>
  <c r="X18" i="5"/>
  <c r="E180" i="5"/>
  <c r="U180" i="5" s="1"/>
  <c r="AA48" i="5"/>
  <c r="AA180" i="5" s="1"/>
  <c r="X44" i="5"/>
  <c r="U44" i="5" s="1"/>
  <c r="H181" i="5"/>
  <c r="X181" i="5" s="1"/>
  <c r="X47" i="5"/>
  <c r="U47" i="5" s="1"/>
  <c r="U189" i="5" s="1"/>
  <c r="L112" i="5"/>
  <c r="AB112" i="5" s="1"/>
  <c r="AB146" i="5"/>
  <c r="L139" i="5"/>
  <c r="AB139" i="5" s="1"/>
  <c r="AA146" i="5"/>
  <c r="H174" i="5"/>
  <c r="X174" i="5" s="1"/>
  <c r="U18" i="5" l="1"/>
  <c r="U48" i="5"/>
  <c r="G181" i="5"/>
  <c r="W181" i="5" s="1"/>
  <c r="G178" i="5"/>
  <c r="W178" i="5" s="1"/>
  <c r="G49" i="5"/>
  <c r="W49" i="5" s="1"/>
  <c r="G112" i="5"/>
  <c r="W112" i="5" s="1"/>
  <c r="H139" i="5"/>
  <c r="X139" i="5" s="1"/>
  <c r="G139" i="5"/>
  <c r="W139" i="5" s="1"/>
  <c r="G141" i="5"/>
  <c r="W141" i="5" s="1"/>
  <c r="G169" i="5"/>
  <c r="W169" i="5" s="1"/>
  <c r="G172" i="5"/>
  <c r="W172" i="5" s="1"/>
  <c r="E181" i="5" l="1"/>
  <c r="U181" i="5" s="1"/>
  <c r="U191" i="5" s="1"/>
  <c r="G199" i="5"/>
  <c r="H146" i="5"/>
  <c r="X146" i="5" s="1"/>
  <c r="U146" i="5" s="1"/>
  <c r="AB150" i="5"/>
  <c r="E94" i="5" l="1"/>
  <c r="G29" i="5" l="1"/>
  <c r="E51" i="5"/>
  <c r="E122" i="5"/>
  <c r="E110" i="5" l="1"/>
  <c r="E162" i="5" l="1"/>
  <c r="G182" i="5"/>
  <c r="E182" i="5" l="1"/>
  <c r="W182" i="5"/>
  <c r="U182" i="5" s="1"/>
  <c r="E100" i="5"/>
  <c r="E133" i="5" l="1"/>
  <c r="E134" i="5"/>
  <c r="E135" i="5"/>
  <c r="E92" i="5"/>
  <c r="E93" i="5"/>
  <c r="E145" i="5" l="1"/>
  <c r="E111" i="5" l="1"/>
  <c r="Z179" i="5"/>
  <c r="V178" i="5"/>
  <c r="H172" i="5"/>
  <c r="X172" i="5" s="1"/>
  <c r="E171" i="5"/>
  <c r="E13" i="5" l="1"/>
  <c r="E14" i="5"/>
  <c r="E15" i="5"/>
  <c r="E16" i="5"/>
  <c r="E17" i="5"/>
  <c r="E20" i="5"/>
  <c r="E21" i="5"/>
  <c r="E22" i="5"/>
  <c r="E23" i="5"/>
  <c r="E25" i="5"/>
  <c r="E26" i="5"/>
  <c r="E31" i="5"/>
  <c r="E32" i="5"/>
  <c r="E33" i="5"/>
  <c r="E34" i="5"/>
  <c r="E35" i="5"/>
  <c r="E37" i="5"/>
  <c r="E38" i="5"/>
  <c r="E40" i="5"/>
  <c r="E42" i="5"/>
  <c r="E44" i="5"/>
  <c r="E46" i="5"/>
  <c r="E47" i="5"/>
  <c r="E48" i="5"/>
  <c r="E50" i="5"/>
  <c r="E52" i="5"/>
  <c r="E54" i="5"/>
  <c r="E56" i="5"/>
  <c r="E59" i="5"/>
  <c r="E60" i="5"/>
  <c r="E62" i="5"/>
  <c r="E64" i="5"/>
  <c r="E65" i="5"/>
  <c r="E68" i="5"/>
  <c r="E70" i="5"/>
  <c r="E71" i="5"/>
  <c r="E73" i="5"/>
  <c r="E74" i="5"/>
  <c r="E76" i="5"/>
  <c r="E77" i="5"/>
  <c r="E79" i="5"/>
  <c r="E82" i="5"/>
  <c r="E83" i="5"/>
  <c r="E84" i="5"/>
  <c r="E85" i="5"/>
  <c r="E86" i="5"/>
  <c r="E87" i="5"/>
  <c r="E88" i="5"/>
  <c r="E89" i="5"/>
  <c r="E90" i="5"/>
  <c r="E91" i="5"/>
  <c r="E95" i="5"/>
  <c r="E97" i="5"/>
  <c r="E102" i="5"/>
  <c r="E104" i="5"/>
  <c r="E108" i="5"/>
  <c r="E109" i="5"/>
  <c r="E114" i="5"/>
  <c r="E115" i="5"/>
  <c r="E116" i="5"/>
  <c r="E117" i="5"/>
  <c r="E118" i="5"/>
  <c r="E119" i="5"/>
  <c r="E123" i="5"/>
  <c r="E126" i="5"/>
  <c r="E137" i="5"/>
  <c r="E138" i="5"/>
  <c r="E140" i="5"/>
  <c r="E144" i="5"/>
  <c r="E148" i="5"/>
  <c r="E149" i="5"/>
  <c r="E153" i="5"/>
  <c r="E157" i="5"/>
  <c r="E158" i="5"/>
  <c r="E159" i="5"/>
  <c r="E163" i="5"/>
  <c r="E167" i="5"/>
  <c r="E168" i="5"/>
  <c r="E170" i="5"/>
  <c r="E175" i="5"/>
  <c r="E176" i="5"/>
  <c r="E12" i="5"/>
  <c r="AB49" i="5" l="1"/>
  <c r="F49" i="5"/>
  <c r="V49" i="5" s="1"/>
  <c r="G36" i="5"/>
  <c r="W36" i="5" s="1"/>
  <c r="F36" i="5"/>
  <c r="V36" i="5" s="1"/>
  <c r="F29" i="5" l="1"/>
  <c r="V29" i="5" s="1"/>
  <c r="G39" i="5" l="1"/>
  <c r="W39" i="5" s="1"/>
  <c r="I150" i="5"/>
  <c r="Y150" i="5" s="1"/>
  <c r="J150" i="5"/>
  <c r="Z150" i="5" s="1"/>
  <c r="K150" i="5"/>
  <c r="AA150" i="5" s="1"/>
  <c r="F150" i="5"/>
  <c r="V150" i="5" s="1"/>
  <c r="G150" i="5"/>
  <c r="W150" i="5" s="1"/>
  <c r="W183" i="5" s="1"/>
  <c r="U183" i="5" s="1"/>
  <c r="K169" i="5" l="1"/>
  <c r="AA169" i="5" s="1"/>
  <c r="H49" i="5"/>
  <c r="X49" i="5" s="1"/>
  <c r="L172" i="5" l="1"/>
  <c r="K172" i="5"/>
  <c r="L169" i="5"/>
  <c r="AB169" i="5" s="1"/>
  <c r="K174" i="5" l="1"/>
  <c r="AA174" i="5" s="1"/>
  <c r="AA172" i="5"/>
  <c r="L174" i="5"/>
  <c r="AB174" i="5" s="1"/>
  <c r="AB172" i="5"/>
  <c r="H39" i="5"/>
  <c r="X39" i="5" s="1"/>
  <c r="J172" i="5" l="1"/>
  <c r="J169" i="5"/>
  <c r="Z169" i="5" s="1"/>
  <c r="F169" i="5"/>
  <c r="V169" i="5" s="1"/>
  <c r="H169" i="5"/>
  <c r="L154" i="5"/>
  <c r="AB154" i="5" s="1"/>
  <c r="K154" i="5"/>
  <c r="AA154" i="5" s="1"/>
  <c r="J154" i="5"/>
  <c r="Z154" i="5" s="1"/>
  <c r="H154" i="5"/>
  <c r="X154" i="5" s="1"/>
  <c r="G154" i="5"/>
  <c r="W154" i="5" s="1"/>
  <c r="F154" i="5"/>
  <c r="V154" i="5" s="1"/>
  <c r="L141" i="5"/>
  <c r="AB141" i="5" s="1"/>
  <c r="K141" i="5"/>
  <c r="AA141" i="5" s="1"/>
  <c r="J141" i="5"/>
  <c r="Z141" i="5" s="1"/>
  <c r="H141" i="5"/>
  <c r="X141" i="5" s="1"/>
  <c r="F141" i="5"/>
  <c r="V141" i="5" s="1"/>
  <c r="K139" i="5"/>
  <c r="AA139" i="5" s="1"/>
  <c r="J139" i="5"/>
  <c r="Z139" i="5" s="1"/>
  <c r="D114" i="5"/>
  <c r="D115" i="5" s="1"/>
  <c r="D116" i="5" s="1"/>
  <c r="D117" i="5" s="1"/>
  <c r="D118" i="5" s="1"/>
  <c r="C114" i="5"/>
  <c r="C115" i="5" s="1"/>
  <c r="C116" i="5" s="1"/>
  <c r="C117" i="5" s="1"/>
  <c r="C118" i="5" s="1"/>
  <c r="K112" i="5"/>
  <c r="AA112" i="5" s="1"/>
  <c r="J112" i="5"/>
  <c r="Z112" i="5" s="1"/>
  <c r="H106" i="5"/>
  <c r="X106" i="5" s="1"/>
  <c r="U106" i="5" s="1"/>
  <c r="H101" i="5"/>
  <c r="H112" i="5" s="1"/>
  <c r="L80" i="5"/>
  <c r="AB80" i="5" s="1"/>
  <c r="K80" i="5"/>
  <c r="AA80" i="5" s="1"/>
  <c r="J80" i="5"/>
  <c r="Z80" i="5" s="1"/>
  <c r="H80" i="5"/>
  <c r="X80" i="5" s="1"/>
  <c r="G80" i="5"/>
  <c r="W80" i="5" s="1"/>
  <c r="F80" i="5"/>
  <c r="V80" i="5" s="1"/>
  <c r="L67" i="5"/>
  <c r="AB67" i="5" s="1"/>
  <c r="K67" i="5"/>
  <c r="AA67" i="5" s="1"/>
  <c r="J67" i="5"/>
  <c r="Z67" i="5" s="1"/>
  <c r="G67" i="5"/>
  <c r="W67" i="5" s="1"/>
  <c r="F67" i="5"/>
  <c r="V67" i="5" s="1"/>
  <c r="H66" i="5"/>
  <c r="H67" i="5" s="1"/>
  <c r="L55" i="5"/>
  <c r="K55" i="5"/>
  <c r="AA55" i="5" s="1"/>
  <c r="J55" i="5"/>
  <c r="Z55" i="5" s="1"/>
  <c r="G55" i="5"/>
  <c r="W55" i="5" s="1"/>
  <c r="F55" i="5"/>
  <c r="V55" i="5" s="1"/>
  <c r="H53" i="5"/>
  <c r="J49" i="5"/>
  <c r="Z49" i="5" s="1"/>
  <c r="K45" i="5"/>
  <c r="K179" i="5" s="1"/>
  <c r="AA179" i="5" s="1"/>
  <c r="U179" i="5" s="1"/>
  <c r="L43" i="5"/>
  <c r="AB43" i="5" s="1"/>
  <c r="K43" i="5"/>
  <c r="AA43" i="5" s="1"/>
  <c r="H43" i="5"/>
  <c r="X43" i="5" s="1"/>
  <c r="G43" i="5"/>
  <c r="W43" i="5" s="1"/>
  <c r="L41" i="5"/>
  <c r="AB41" i="5" s="1"/>
  <c r="K41" i="5"/>
  <c r="AA41" i="5" s="1"/>
  <c r="H41" i="5"/>
  <c r="X41" i="5" s="1"/>
  <c r="K39" i="5"/>
  <c r="F39" i="5"/>
  <c r="V39" i="5" s="1"/>
  <c r="J36" i="5"/>
  <c r="J29" i="5"/>
  <c r="E29" i="5" s="1"/>
  <c r="AB55" i="5" l="1"/>
  <c r="L177" i="5"/>
  <c r="H178" i="5"/>
  <c r="X178" i="5" s="1"/>
  <c r="X112" i="5"/>
  <c r="U112" i="5" s="1"/>
  <c r="X101" i="5"/>
  <c r="U101" i="5" s="1"/>
  <c r="X67" i="5"/>
  <c r="U67" i="5" s="1"/>
  <c r="X66" i="5"/>
  <c r="U66" i="5" s="1"/>
  <c r="X53" i="5"/>
  <c r="U53" i="5" s="1"/>
  <c r="X169" i="5"/>
  <c r="U169" i="5" s="1"/>
  <c r="U43" i="5"/>
  <c r="U141" i="5"/>
  <c r="U41" i="5"/>
  <c r="U154" i="5"/>
  <c r="AA45" i="5"/>
  <c r="U45" i="5" s="1"/>
  <c r="U80" i="5"/>
  <c r="U139" i="5"/>
  <c r="J174" i="5"/>
  <c r="Z174" i="5" s="1"/>
  <c r="U174" i="5" s="1"/>
  <c r="Z172" i="5"/>
  <c r="G177" i="5"/>
  <c r="J177" i="5"/>
  <c r="J184" i="5" s="1"/>
  <c r="E169" i="5"/>
  <c r="F177" i="5"/>
  <c r="E172" i="5"/>
  <c r="E81" i="5"/>
  <c r="E96" i="5"/>
  <c r="E160" i="5"/>
  <c r="E66" i="5"/>
  <c r="E125" i="5"/>
  <c r="E99" i="5"/>
  <c r="E127" i="5"/>
  <c r="E18" i="5"/>
  <c r="E101" i="5"/>
  <c r="E128" i="5"/>
  <c r="E103" i="5"/>
  <c r="E129" i="5"/>
  <c r="E106" i="5"/>
  <c r="E98" i="5"/>
  <c r="E53" i="5"/>
  <c r="E105" i="5"/>
  <c r="E132" i="5"/>
  <c r="E146" i="5"/>
  <c r="E41" i="5"/>
  <c r="E113" i="5"/>
  <c r="E141" i="5"/>
  <c r="E154" i="5"/>
  <c r="E30" i="5"/>
  <c r="E39" i="5"/>
  <c r="E80" i="5"/>
  <c r="E43" i="5"/>
  <c r="E45" i="5"/>
  <c r="H150" i="5"/>
  <c r="X150" i="5" s="1"/>
  <c r="U150" i="5" s="1"/>
  <c r="K49" i="5"/>
  <c r="AA49" i="5" s="1"/>
  <c r="U49" i="5" s="1"/>
  <c r="H36" i="5"/>
  <c r="H55" i="5"/>
  <c r="X55" i="5" s="1"/>
  <c r="H133" i="4"/>
  <c r="U187" i="5" l="1"/>
  <c r="G184" i="5"/>
  <c r="W177" i="5"/>
  <c r="F184" i="5"/>
  <c r="V177" i="5"/>
  <c r="L184" i="5"/>
  <c r="U55" i="5"/>
  <c r="E178" i="5"/>
  <c r="H189" i="5"/>
  <c r="X36" i="5"/>
  <c r="H177" i="5"/>
  <c r="X177" i="5" s="1"/>
  <c r="K177" i="5"/>
  <c r="E179" i="5"/>
  <c r="U172" i="5"/>
  <c r="G185" i="5"/>
  <c r="F185" i="5"/>
  <c r="E174" i="5"/>
  <c r="E55" i="5"/>
  <c r="E49" i="5"/>
  <c r="E67" i="5"/>
  <c r="E112" i="5"/>
  <c r="E36" i="5"/>
  <c r="E19" i="5"/>
  <c r="E139" i="5"/>
  <c r="E150" i="5"/>
  <c r="H122" i="4"/>
  <c r="H105" i="4"/>
  <c r="H77" i="4"/>
  <c r="H81" i="4"/>
  <c r="H86" i="4"/>
  <c r="V184" i="5" l="1"/>
  <c r="K184" i="5"/>
  <c r="H184" i="5"/>
  <c r="H185" i="5"/>
  <c r="E177" i="5"/>
  <c r="E89" i="4"/>
  <c r="T89" i="4" s="1"/>
  <c r="V89" i="4"/>
  <c r="Z89" i="4"/>
  <c r="E90" i="4"/>
  <c r="T90" i="4" s="1"/>
  <c r="V90" i="4"/>
  <c r="Z90" i="4"/>
  <c r="E91" i="4"/>
  <c r="T91" i="4" s="1"/>
  <c r="V91" i="4"/>
  <c r="Z91" i="4"/>
  <c r="H83" i="4"/>
  <c r="H25" i="4"/>
  <c r="L122" i="4"/>
  <c r="L17" i="4"/>
  <c r="E185" i="5" l="1"/>
  <c r="E184" i="5"/>
  <c r="H85" i="4"/>
  <c r="E134" i="4"/>
  <c r="T134" i="4" s="1"/>
  <c r="V134" i="4"/>
  <c r="Z134" i="4"/>
  <c r="E81" i="4"/>
  <c r="T81" i="4" s="1"/>
  <c r="Z81" i="4"/>
  <c r="H103" i="4"/>
  <c r="H45" i="4"/>
  <c r="H80" i="4"/>
  <c r="E80" i="4" s="1"/>
  <c r="T80" i="4" s="1"/>
  <c r="Z80" i="4"/>
  <c r="H107" i="4"/>
  <c r="E107" i="4" s="1"/>
  <c r="T107" i="4" s="1"/>
  <c r="Z107" i="4"/>
  <c r="Z104" i="4"/>
  <c r="V104" i="4"/>
  <c r="E104" i="4"/>
  <c r="T104" i="4" s="1"/>
  <c r="H79" i="4"/>
  <c r="V79" i="4" s="1"/>
  <c r="Z79" i="4"/>
  <c r="H106" i="4"/>
  <c r="Z103" i="4"/>
  <c r="V103" i="4"/>
  <c r="E103" i="4"/>
  <c r="T103" i="4" s="1"/>
  <c r="V81" i="4" l="1"/>
  <c r="V80" i="4"/>
  <c r="V107" i="4"/>
  <c r="E79" i="4"/>
  <c r="T79" i="4" s="1"/>
  <c r="H132" i="4"/>
  <c r="H54" i="4"/>
  <c r="Z84" i="4"/>
  <c r="V84" i="4"/>
  <c r="E84" i="4"/>
  <c r="T84" i="4" s="1"/>
  <c r="K121" i="4" l="1"/>
  <c r="E118" i="4"/>
  <c r="T118" i="4" s="1"/>
  <c r="Z118" i="4"/>
  <c r="V118" i="4"/>
  <c r="T29" i="4" l="1"/>
  <c r="T110" i="4"/>
  <c r="T139" i="4"/>
  <c r="T142" i="4"/>
  <c r="T143" i="4"/>
  <c r="T144" i="4"/>
  <c r="U11" i="4"/>
  <c r="V11" i="4"/>
  <c r="W11" i="4"/>
  <c r="X11" i="4"/>
  <c r="Y11" i="4"/>
  <c r="Z18" i="4"/>
  <c r="Z19" i="4"/>
  <c r="Z20" i="4"/>
  <c r="Z21" i="4"/>
  <c r="Z22" i="4"/>
  <c r="Z23" i="4"/>
  <c r="Z25" i="4"/>
  <c r="Z26" i="4"/>
  <c r="Z27" i="4"/>
  <c r="Z28" i="4"/>
  <c r="Z29" i="4"/>
  <c r="Z31" i="4"/>
  <c r="Z32" i="4"/>
  <c r="Z34" i="4"/>
  <c r="Z36" i="4"/>
  <c r="Z38" i="4"/>
  <c r="Z39" i="4"/>
  <c r="Z40" i="4"/>
  <c r="Z41" i="4"/>
  <c r="Z43" i="4"/>
  <c r="Z44" i="4"/>
  <c r="Z45" i="4"/>
  <c r="Z46" i="4"/>
  <c r="Z48" i="4"/>
  <c r="Z49" i="4"/>
  <c r="Z50" i="4"/>
  <c r="Z51" i="4"/>
  <c r="Z52" i="4"/>
  <c r="Z53" i="4"/>
  <c r="Z54" i="4"/>
  <c r="Z56" i="4"/>
  <c r="Z57" i="4"/>
  <c r="Z58" i="4"/>
  <c r="Z59" i="4"/>
  <c r="Z60" i="4"/>
  <c r="Z61" i="4"/>
  <c r="Z62" i="4"/>
  <c r="Z63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82" i="4"/>
  <c r="Z83" i="4"/>
  <c r="Z85" i="4"/>
  <c r="Z86" i="4"/>
  <c r="Z87" i="4"/>
  <c r="Z88" i="4"/>
  <c r="Z92" i="4"/>
  <c r="Z94" i="4"/>
  <c r="Z95" i="4"/>
  <c r="Z96" i="4"/>
  <c r="Z97" i="4"/>
  <c r="Z98" i="4"/>
  <c r="Z99" i="4"/>
  <c r="Z100" i="4"/>
  <c r="Z101" i="4"/>
  <c r="Z102" i="4"/>
  <c r="Z105" i="4"/>
  <c r="Z106" i="4"/>
  <c r="Z108" i="4"/>
  <c r="Z109" i="4"/>
  <c r="Z110" i="4"/>
  <c r="Z111" i="4"/>
  <c r="Z112" i="4"/>
  <c r="Z113" i="4"/>
  <c r="Z115" i="4"/>
  <c r="Z117" i="4"/>
  <c r="Z119" i="4"/>
  <c r="Z120" i="4"/>
  <c r="Z122" i="4"/>
  <c r="Z123" i="4"/>
  <c r="Z125" i="4"/>
  <c r="Z127" i="4"/>
  <c r="Z129" i="4"/>
  <c r="Z130" i="4"/>
  <c r="Z131" i="4"/>
  <c r="Z132" i="4"/>
  <c r="Z133" i="4"/>
  <c r="Z135" i="4"/>
  <c r="Z136" i="4"/>
  <c r="Z137" i="4"/>
  <c r="Z139" i="4"/>
  <c r="Z144" i="4"/>
  <c r="Z145" i="4"/>
  <c r="Z17" i="4"/>
  <c r="V14" i="4"/>
  <c r="V17" i="4"/>
  <c r="V18" i="4"/>
  <c r="V19" i="4"/>
  <c r="V20" i="4"/>
  <c r="V21" i="4"/>
  <c r="V22" i="4"/>
  <c r="V23" i="4"/>
  <c r="V25" i="4"/>
  <c r="V26" i="4"/>
  <c r="V27" i="4"/>
  <c r="V28" i="4"/>
  <c r="V29" i="4"/>
  <c r="V31" i="4"/>
  <c r="V32" i="4"/>
  <c r="V34" i="4"/>
  <c r="V36" i="4"/>
  <c r="V39" i="4"/>
  <c r="V40" i="4"/>
  <c r="V41" i="4"/>
  <c r="V43" i="4"/>
  <c r="V44" i="4"/>
  <c r="V45" i="4"/>
  <c r="V46" i="4"/>
  <c r="V48" i="4"/>
  <c r="V49" i="4"/>
  <c r="V50" i="4"/>
  <c r="V51" i="4"/>
  <c r="V52" i="4"/>
  <c r="V53" i="4"/>
  <c r="V54" i="4"/>
  <c r="V56" i="4"/>
  <c r="V57" i="4"/>
  <c r="V58" i="4"/>
  <c r="V59" i="4"/>
  <c r="V60" i="4"/>
  <c r="V61" i="4"/>
  <c r="V62" i="4"/>
  <c r="V63" i="4"/>
  <c r="V66" i="4"/>
  <c r="V67" i="4"/>
  <c r="V68" i="4"/>
  <c r="V69" i="4"/>
  <c r="V70" i="4"/>
  <c r="V71" i="4"/>
  <c r="V72" i="4"/>
  <c r="V73" i="4"/>
  <c r="V74" i="4"/>
  <c r="V76" i="4"/>
  <c r="V77" i="4"/>
  <c r="V78" i="4"/>
  <c r="V82" i="4"/>
  <c r="V83" i="4"/>
  <c r="V85" i="4"/>
  <c r="V87" i="4"/>
  <c r="V88" i="4"/>
  <c r="V92" i="4"/>
  <c r="V95" i="4"/>
  <c r="V98" i="4"/>
  <c r="V99" i="4"/>
  <c r="V100" i="4"/>
  <c r="V101" i="4"/>
  <c r="V102" i="4"/>
  <c r="V105" i="4"/>
  <c r="V106" i="4"/>
  <c r="V109" i="4"/>
  <c r="V110" i="4"/>
  <c r="V111" i="4"/>
  <c r="V112" i="4"/>
  <c r="V113" i="4"/>
  <c r="V115" i="4"/>
  <c r="V117" i="4"/>
  <c r="V119" i="4"/>
  <c r="V120" i="4"/>
  <c r="V123" i="4"/>
  <c r="V125" i="4"/>
  <c r="V127" i="4"/>
  <c r="V129" i="4"/>
  <c r="V130" i="4"/>
  <c r="V131" i="4"/>
  <c r="V132" i="4"/>
  <c r="V133" i="4"/>
  <c r="V135" i="4"/>
  <c r="V136" i="4"/>
  <c r="V137" i="4"/>
  <c r="V139" i="4"/>
  <c r="V144" i="4"/>
  <c r="V145" i="4"/>
  <c r="V13" i="4"/>
  <c r="E11" i="4"/>
  <c r="T11" i="4" s="1"/>
  <c r="U146" i="4"/>
  <c r="X146" i="4"/>
  <c r="Y146" i="4"/>
  <c r="I149" i="4"/>
  <c r="J149" i="4"/>
  <c r="I150" i="4"/>
  <c r="J150" i="4"/>
  <c r="I151" i="4"/>
  <c r="J151" i="4"/>
  <c r="K149" i="4"/>
  <c r="K150" i="4"/>
  <c r="K151" i="4"/>
  <c r="L149" i="4"/>
  <c r="E40" i="4"/>
  <c r="T40" i="4" s="1"/>
  <c r="E41" i="4"/>
  <c r="T41" i="4" s="1"/>
  <c r="K23" i="4"/>
  <c r="H30" i="4"/>
  <c r="V30" i="4" s="1"/>
  <c r="E26" i="4"/>
  <c r="T26" i="4" s="1"/>
  <c r="E27" i="4"/>
  <c r="T27" i="4" s="1"/>
  <c r="E28" i="4"/>
  <c r="T28" i="4" s="1"/>
  <c r="K138" i="4"/>
  <c r="K144" i="4" s="1"/>
  <c r="K153" i="4" s="1"/>
  <c r="E130" i="4"/>
  <c r="T130" i="4" s="1"/>
  <c r="E129" i="4"/>
  <c r="T129" i="4" s="1"/>
  <c r="H108" i="4" l="1"/>
  <c r="I143" i="4"/>
  <c r="J143" i="4"/>
  <c r="L143" i="4"/>
  <c r="Z143" i="4" s="1"/>
  <c r="G143" i="4"/>
  <c r="E105" i="4"/>
  <c r="T105" i="4" s="1"/>
  <c r="E106" i="4"/>
  <c r="T106" i="4" s="1"/>
  <c r="E82" i="4"/>
  <c r="T82" i="4" s="1"/>
  <c r="V86" i="4"/>
  <c r="E76" i="4"/>
  <c r="T76" i="4" s="1"/>
  <c r="E77" i="4"/>
  <c r="T77" i="4" s="1"/>
  <c r="E78" i="4"/>
  <c r="T78" i="4" s="1"/>
  <c r="E83" i="4"/>
  <c r="T83" i="4" s="1"/>
  <c r="E85" i="4"/>
  <c r="T85" i="4" s="1"/>
  <c r="E87" i="4"/>
  <c r="T87" i="4" s="1"/>
  <c r="E88" i="4"/>
  <c r="T88" i="4" s="1"/>
  <c r="E92" i="4"/>
  <c r="T92" i="4" s="1"/>
  <c r="G93" i="4"/>
  <c r="H94" i="4"/>
  <c r="V94" i="4" s="1"/>
  <c r="C95" i="4"/>
  <c r="C96" i="4" s="1"/>
  <c r="C97" i="4" s="1"/>
  <c r="C98" i="4" s="1"/>
  <c r="C99" i="4" s="1"/>
  <c r="D95" i="4"/>
  <c r="D96" i="4" s="1"/>
  <c r="D97" i="4" s="1"/>
  <c r="D98" i="4" s="1"/>
  <c r="D99" i="4" s="1"/>
  <c r="E95" i="4"/>
  <c r="T95" i="4" s="1"/>
  <c r="H96" i="4"/>
  <c r="V96" i="4" s="1"/>
  <c r="H97" i="4"/>
  <c r="E98" i="4"/>
  <c r="T98" i="4" s="1"/>
  <c r="E99" i="4"/>
  <c r="T99" i="4" s="1"/>
  <c r="E100" i="4"/>
  <c r="T100" i="4" s="1"/>
  <c r="E101" i="4"/>
  <c r="T101" i="4" s="1"/>
  <c r="E102" i="4"/>
  <c r="T102" i="4" s="1"/>
  <c r="E109" i="4"/>
  <c r="T109" i="4" s="1"/>
  <c r="E111" i="4"/>
  <c r="T111" i="4" s="1"/>
  <c r="E112" i="4"/>
  <c r="T112" i="4" s="1"/>
  <c r="E113" i="4"/>
  <c r="T113" i="4" s="1"/>
  <c r="G114" i="4"/>
  <c r="E115" i="4"/>
  <c r="T115" i="4" s="1"/>
  <c r="F116" i="4"/>
  <c r="G116" i="4"/>
  <c r="H116" i="4"/>
  <c r="V116" i="4" s="1"/>
  <c r="E117" i="4"/>
  <c r="E120" i="4"/>
  <c r="T120" i="4" s="1"/>
  <c r="G121" i="4"/>
  <c r="H121" i="4"/>
  <c r="V121" i="4" s="1"/>
  <c r="E123" i="4"/>
  <c r="T123" i="4" s="1"/>
  <c r="F124" i="4"/>
  <c r="E125" i="4"/>
  <c r="F126" i="4"/>
  <c r="E127" i="4"/>
  <c r="T127" i="4" s="1"/>
  <c r="F128" i="4"/>
  <c r="E131" i="4"/>
  <c r="T131" i="4" s="1"/>
  <c r="E132" i="4"/>
  <c r="T132" i="4" s="1"/>
  <c r="E133" i="4"/>
  <c r="T133" i="4" s="1"/>
  <c r="E135" i="4"/>
  <c r="T135" i="4" s="1"/>
  <c r="E136" i="4"/>
  <c r="T136" i="4" s="1"/>
  <c r="E137" i="4"/>
  <c r="T137" i="4" s="1"/>
  <c r="F138" i="4"/>
  <c r="T117" i="4" l="1"/>
  <c r="E94" i="4"/>
  <c r="T94" i="4" s="1"/>
  <c r="E128" i="4"/>
  <c r="T128" i="4" s="1"/>
  <c r="E126" i="4"/>
  <c r="T126" i="4" s="1"/>
  <c r="T125" i="4"/>
  <c r="V97" i="4"/>
  <c r="E97" i="4"/>
  <c r="T97" i="4" s="1"/>
  <c r="E96" i="4"/>
  <c r="T96" i="4" s="1"/>
  <c r="E86" i="4"/>
  <c r="T86" i="4" s="1"/>
  <c r="H114" i="4"/>
  <c r="V114" i="4" s="1"/>
  <c r="V108" i="4"/>
  <c r="E108" i="4"/>
  <c r="E138" i="4"/>
  <c r="T138" i="4" s="1"/>
  <c r="E114" i="4" l="1"/>
  <c r="T114" i="4" s="1"/>
  <c r="T108" i="4"/>
  <c r="L151" i="4"/>
  <c r="E31" i="4"/>
  <c r="T31" i="4" s="1"/>
  <c r="E32" i="4"/>
  <c r="E36" i="4"/>
  <c r="T36" i="4" s="1"/>
  <c r="E43" i="4"/>
  <c r="T43" i="4" s="1"/>
  <c r="E44" i="4"/>
  <c r="T44" i="4" s="1"/>
  <c r="E45" i="4"/>
  <c r="T45" i="4" s="1"/>
  <c r="E46" i="4"/>
  <c r="T46" i="4" s="1"/>
  <c r="L150" i="4"/>
  <c r="S146" i="4"/>
  <c r="R146" i="4"/>
  <c r="Q146" i="4"/>
  <c r="O146" i="4"/>
  <c r="N146" i="4"/>
  <c r="M146" i="4"/>
  <c r="L146" i="4"/>
  <c r="Z146" i="4" s="1"/>
  <c r="K146" i="4"/>
  <c r="H146" i="4"/>
  <c r="V146" i="4" s="1"/>
  <c r="G146" i="4"/>
  <c r="E145" i="4"/>
  <c r="L142" i="4"/>
  <c r="Z142" i="4" s="1"/>
  <c r="J142" i="4"/>
  <c r="K140" i="4"/>
  <c r="J140" i="4"/>
  <c r="H140" i="4"/>
  <c r="V140" i="4" s="1"/>
  <c r="G140" i="4"/>
  <c r="L138" i="4"/>
  <c r="J138" i="4"/>
  <c r="H138" i="4"/>
  <c r="V138" i="4" s="1"/>
  <c r="G138" i="4"/>
  <c r="L128" i="4"/>
  <c r="Z128" i="4" s="1"/>
  <c r="K128" i="4"/>
  <c r="J128" i="4"/>
  <c r="H128" i="4"/>
  <c r="V128" i="4" s="1"/>
  <c r="G128" i="4"/>
  <c r="L126" i="4"/>
  <c r="Z126" i="4" s="1"/>
  <c r="K126" i="4"/>
  <c r="J126" i="4"/>
  <c r="H126" i="4"/>
  <c r="V126" i="4" s="1"/>
  <c r="G126" i="4"/>
  <c r="L124" i="4"/>
  <c r="Z124" i="4" s="1"/>
  <c r="K124" i="4"/>
  <c r="J124" i="4"/>
  <c r="G124" i="4"/>
  <c r="L121" i="4"/>
  <c r="Z121" i="4" s="1"/>
  <c r="L116" i="4"/>
  <c r="Z116" i="4" s="1"/>
  <c r="K116" i="4"/>
  <c r="J116" i="4"/>
  <c r="L114" i="4"/>
  <c r="Z114" i="4" s="1"/>
  <c r="K114" i="4"/>
  <c r="J114" i="4"/>
  <c r="L93" i="4"/>
  <c r="Z93" i="4" s="1"/>
  <c r="K93" i="4"/>
  <c r="J93" i="4"/>
  <c r="H75" i="4"/>
  <c r="E74" i="4"/>
  <c r="T74" i="4" s="1"/>
  <c r="E73" i="4"/>
  <c r="T73" i="4" s="1"/>
  <c r="E72" i="4"/>
  <c r="T72" i="4" s="1"/>
  <c r="E71" i="4"/>
  <c r="T71" i="4" s="1"/>
  <c r="E70" i="4"/>
  <c r="T70" i="4" s="1"/>
  <c r="E69" i="4"/>
  <c r="T69" i="4" s="1"/>
  <c r="E68" i="4"/>
  <c r="T68" i="4" s="1"/>
  <c r="E67" i="4"/>
  <c r="T67" i="4" s="1"/>
  <c r="E66" i="4"/>
  <c r="T66" i="4" s="1"/>
  <c r="H65" i="4"/>
  <c r="L64" i="4"/>
  <c r="Z64" i="4" s="1"/>
  <c r="K64" i="4"/>
  <c r="J64" i="4"/>
  <c r="H64" i="4"/>
  <c r="V64" i="4" s="1"/>
  <c r="G64" i="4"/>
  <c r="F64" i="4"/>
  <c r="E63" i="4"/>
  <c r="T63" i="4" s="1"/>
  <c r="E62" i="4"/>
  <c r="T62" i="4" s="1"/>
  <c r="E61" i="4"/>
  <c r="T61" i="4" s="1"/>
  <c r="E60" i="4"/>
  <c r="T60" i="4" s="1"/>
  <c r="E59" i="4"/>
  <c r="T59" i="4" s="1"/>
  <c r="E58" i="4"/>
  <c r="T58" i="4" s="1"/>
  <c r="E57" i="4"/>
  <c r="T57" i="4" s="1"/>
  <c r="E56" i="4"/>
  <c r="T56" i="4" s="1"/>
  <c r="L55" i="4"/>
  <c r="Z55" i="4" s="1"/>
  <c r="K55" i="4"/>
  <c r="J55" i="4"/>
  <c r="H55" i="4"/>
  <c r="V55" i="4" s="1"/>
  <c r="G55" i="4"/>
  <c r="F55" i="4"/>
  <c r="E54" i="4"/>
  <c r="T54" i="4" s="1"/>
  <c r="E53" i="4"/>
  <c r="T53" i="4" s="1"/>
  <c r="E52" i="4"/>
  <c r="T52" i="4" s="1"/>
  <c r="E51" i="4"/>
  <c r="T51" i="4" s="1"/>
  <c r="E50" i="4"/>
  <c r="T50" i="4" s="1"/>
  <c r="E49" i="4"/>
  <c r="T49" i="4" s="1"/>
  <c r="E48" i="4"/>
  <c r="T48" i="4" s="1"/>
  <c r="L47" i="4"/>
  <c r="Z47" i="4" s="1"/>
  <c r="K47" i="4"/>
  <c r="J47" i="4"/>
  <c r="H47" i="4"/>
  <c r="V47" i="4" s="1"/>
  <c r="G47" i="4"/>
  <c r="F47" i="4"/>
  <c r="L42" i="4"/>
  <c r="Z42" i="4" s="1"/>
  <c r="J42" i="4"/>
  <c r="K39" i="4"/>
  <c r="K143" i="4" s="1"/>
  <c r="V38" i="4"/>
  <c r="F142" i="4"/>
  <c r="L37" i="4"/>
  <c r="Z37" i="4" s="1"/>
  <c r="K37" i="4"/>
  <c r="H37" i="4"/>
  <c r="V37" i="4" s="1"/>
  <c r="G37" i="4"/>
  <c r="L35" i="4"/>
  <c r="Z35" i="4" s="1"/>
  <c r="K35" i="4"/>
  <c r="H35" i="4"/>
  <c r="V35" i="4" s="1"/>
  <c r="E34" i="4"/>
  <c r="L33" i="4"/>
  <c r="Z33" i="4" s="1"/>
  <c r="K33" i="4"/>
  <c r="H33" i="4"/>
  <c r="G33" i="4"/>
  <c r="F33" i="4"/>
  <c r="L30" i="4"/>
  <c r="Z30" i="4" s="1"/>
  <c r="J30" i="4"/>
  <c r="G30" i="4"/>
  <c r="F30" i="4"/>
  <c r="K25" i="4"/>
  <c r="K142" i="4" s="1"/>
  <c r="L24" i="4"/>
  <c r="Z24" i="4" s="1"/>
  <c r="J24" i="4"/>
  <c r="F24" i="4"/>
  <c r="K24" i="4"/>
  <c r="E22" i="4"/>
  <c r="T22" i="4" s="1"/>
  <c r="E21" i="4"/>
  <c r="T21" i="4" s="1"/>
  <c r="E20" i="4"/>
  <c r="T20" i="4" s="1"/>
  <c r="E19" i="4"/>
  <c r="T19" i="4" s="1"/>
  <c r="E18" i="4"/>
  <c r="T18" i="4" s="1"/>
  <c r="E17" i="4"/>
  <c r="T17" i="4" s="1"/>
  <c r="H15" i="4"/>
  <c r="E14" i="4"/>
  <c r="T14" i="4" s="1"/>
  <c r="E13" i="4"/>
  <c r="T13" i="4" s="1"/>
  <c r="E12" i="4"/>
  <c r="T12" i="4" s="1"/>
  <c r="E140" i="4" l="1"/>
  <c r="T140" i="4" s="1"/>
  <c r="K141" i="4"/>
  <c r="H42" i="4"/>
  <c r="V42" i="4" s="1"/>
  <c r="E122" i="4"/>
  <c r="V122" i="4"/>
  <c r="H142" i="4"/>
  <c r="H150" i="4" s="1"/>
  <c r="E35" i="4"/>
  <c r="T35" i="4" s="1"/>
  <c r="T34" i="4"/>
  <c r="E65" i="4"/>
  <c r="T65" i="4" s="1"/>
  <c r="V65" i="4"/>
  <c r="H93" i="4"/>
  <c r="V93" i="4" s="1"/>
  <c r="E119" i="4"/>
  <c r="E121" i="4" s="1"/>
  <c r="E116" i="4"/>
  <c r="T116" i="4" s="1"/>
  <c r="H124" i="4"/>
  <c r="V124" i="4" s="1"/>
  <c r="E146" i="4"/>
  <c r="T146" i="4" s="1"/>
  <c r="T145" i="4"/>
  <c r="H16" i="4"/>
  <c r="H152" i="4" s="1"/>
  <c r="V15" i="4"/>
  <c r="E25" i="4"/>
  <c r="T25" i="4" s="1"/>
  <c r="K30" i="4"/>
  <c r="K42" i="4"/>
  <c r="E39" i="4"/>
  <c r="T39" i="4" s="1"/>
  <c r="V75" i="4"/>
  <c r="H143" i="4"/>
  <c r="L140" i="4"/>
  <c r="Z140" i="4" s="1"/>
  <c r="Z138" i="4"/>
  <c r="E33" i="4"/>
  <c r="T33" i="4" s="1"/>
  <c r="T32" i="4"/>
  <c r="V33" i="4"/>
  <c r="E75" i="4"/>
  <c r="L141" i="4"/>
  <c r="Z141" i="4" s="1"/>
  <c r="E64" i="4"/>
  <c r="T64" i="4" s="1"/>
  <c r="E47" i="4"/>
  <c r="T47" i="4" s="1"/>
  <c r="E23" i="4"/>
  <c r="E55" i="4"/>
  <c r="T55" i="4" s="1"/>
  <c r="J141" i="4"/>
  <c r="E38" i="4"/>
  <c r="T38" i="4" s="1"/>
  <c r="G142" i="4"/>
  <c r="E37" i="4"/>
  <c r="T37" i="4" s="1"/>
  <c r="G24" i="4"/>
  <c r="H24" i="4"/>
  <c r="V24" i="4" s="1"/>
  <c r="F42" i="4"/>
  <c r="F141" i="4" s="1"/>
  <c r="E15" i="4"/>
  <c r="T15" i="4" s="1"/>
  <c r="G42" i="4"/>
  <c r="G141" i="4" s="1"/>
  <c r="V143" i="4" l="1"/>
  <c r="H151" i="4"/>
  <c r="E30" i="4"/>
  <c r="T30" i="4" s="1"/>
  <c r="H141" i="4"/>
  <c r="M149" i="4"/>
  <c r="T119" i="4"/>
  <c r="T121" i="4"/>
  <c r="V142" i="4"/>
  <c r="V16" i="4"/>
  <c r="E124" i="4"/>
  <c r="T124" i="4" s="1"/>
  <c r="T122" i="4"/>
  <c r="E24" i="4"/>
  <c r="T24" i="4" s="1"/>
  <c r="T23" i="4"/>
  <c r="E93" i="4"/>
  <c r="T93" i="4" s="1"/>
  <c r="T75" i="4"/>
  <c r="E42" i="4"/>
  <c r="T42" i="4" s="1"/>
  <c r="E16" i="4"/>
  <c r="T16" i="4" s="1"/>
  <c r="E141" i="4" l="1"/>
  <c r="T141" i="4" s="1"/>
  <c r="H149" i="4"/>
  <c r="V141" i="4"/>
  <c r="X29" i="5"/>
  <c r="X184" i="5" s="1"/>
  <c r="R30" i="5"/>
  <c r="M30" i="5" s="1"/>
  <c r="Y29" i="5"/>
  <c r="AB29" i="5"/>
  <c r="Z29" i="5"/>
  <c r="W29" i="5"/>
  <c r="W184" i="5" s="1"/>
  <c r="M36" i="5" l="1"/>
  <c r="U29" i="5"/>
  <c r="Z30" i="5"/>
  <c r="R36" i="5"/>
  <c r="AB30" i="5"/>
  <c r="T36" i="5"/>
  <c r="AA30" i="5"/>
  <c r="S36" i="5"/>
  <c r="U30" i="5" l="1"/>
  <c r="T37" i="5"/>
  <c r="T178" i="5" s="1"/>
  <c r="T185" i="5" s="1"/>
  <c r="AB36" i="5"/>
  <c r="R37" i="5"/>
  <c r="R178" i="5" s="1"/>
  <c r="Z36" i="5"/>
  <c r="S37" i="5"/>
  <c r="AA36" i="5"/>
  <c r="T177" i="5" l="1"/>
  <c r="S178" i="5"/>
  <c r="S177" i="5" s="1"/>
  <c r="R177" i="5"/>
  <c r="R184" i="5" s="1"/>
  <c r="M37" i="5"/>
  <c r="M178" i="5" s="1"/>
  <c r="R39" i="5"/>
  <c r="Z39" i="5" s="1"/>
  <c r="Z180" i="5" s="1"/>
  <c r="S39" i="5"/>
  <c r="S40" i="5" s="1"/>
  <c r="AA40" i="5" s="1"/>
  <c r="T39" i="5"/>
  <c r="T40" i="5" s="1"/>
  <c r="AB40" i="5" s="1"/>
  <c r="U36" i="5"/>
  <c r="Z37" i="5"/>
  <c r="AA37" i="5"/>
  <c r="AB37" i="5"/>
  <c r="T184" i="5" l="1"/>
  <c r="AB177" i="5"/>
  <c r="AB184" i="5" s="1"/>
  <c r="AA177" i="5"/>
  <c r="S184" i="5"/>
  <c r="M177" i="5"/>
  <c r="M184" i="5" s="1"/>
  <c r="M187" i="5"/>
  <c r="S185" i="5"/>
  <c r="T187" i="5"/>
  <c r="R40" i="5"/>
  <c r="Z40" i="5" s="1"/>
  <c r="U40" i="5" s="1"/>
  <c r="AB178" i="5"/>
  <c r="AA178" i="5"/>
  <c r="AA39" i="5"/>
  <c r="AB39" i="5"/>
  <c r="Z177" i="5"/>
  <c r="Z184" i="5" s="1"/>
  <c r="U37" i="5"/>
  <c r="M39" i="5"/>
  <c r="Z178" i="5"/>
  <c r="R185" i="5"/>
  <c r="M40" i="5" l="1"/>
  <c r="U178" i="5"/>
  <c r="U39" i="5"/>
  <c r="AA184" i="5"/>
  <c r="U177" i="5" l="1"/>
  <c r="U184" i="5" s="1"/>
</calcChain>
</file>

<file path=xl/sharedStrings.xml><?xml version="1.0" encoding="utf-8"?>
<sst xmlns="http://schemas.openxmlformats.org/spreadsheetml/2006/main" count="675" uniqueCount="202">
  <si>
    <t>в том числе по источникам финасового обеспечения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</si>
  <si>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</si>
  <si>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</si>
  <si>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</si>
  <si>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областной бюджет</t>
  </si>
  <si>
    <t>местный бюджет</t>
  </si>
  <si>
    <t>код субсидии</t>
  </si>
  <si>
    <t>Уточнение показателей Плана (+; -)</t>
  </si>
  <si>
    <t xml:space="preserve">Уточненный план </t>
  </si>
  <si>
    <t>от "___"_________20___г.</t>
  </si>
  <si>
    <t xml:space="preserve">Приложение № 4 к Порядку </t>
  </si>
  <si>
    <t>КВР</t>
  </si>
  <si>
    <t>КОСГУ</t>
  </si>
  <si>
    <t>Сумма, руб.</t>
  </si>
  <si>
    <t>Утвержденный План</t>
  </si>
  <si>
    <t>КФСР</t>
  </si>
  <si>
    <t>Итого поступления</t>
  </si>
  <si>
    <t>Итого расходы</t>
  </si>
  <si>
    <t>Наименование показателей: поступления, расходы</t>
  </si>
  <si>
    <t>Приложение № 2 к постановлению
от 25.11.2022 № 2521</t>
  </si>
  <si>
    <t>Пояснительная записка к плану финансово-хозяйственной деятельности  (изменений к плану) на __2023_______год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</si>
  <si>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</si>
  <si>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Курсы английского языка</t>
  </si>
  <si>
    <t>Оплата труда</t>
  </si>
  <si>
    <t xml:space="preserve">Итого по КОСГУ 211 КВР 111 </t>
  </si>
  <si>
    <t>Взносы по обязательному социальному страхованию на выплаты по оплате труда работников</t>
  </si>
  <si>
    <t>Итого по КОСГУ 213 КВР 119</t>
  </si>
  <si>
    <t>Итого по КОСГУ 221 КВР 244</t>
  </si>
  <si>
    <t>Вода</t>
  </si>
  <si>
    <t>Плата за негат.возд.на работу ЦСВ</t>
  </si>
  <si>
    <t>Обращ.с тверд.ком.отходами</t>
  </si>
  <si>
    <t>Итого по КОСГУ 223 КВР 244</t>
  </si>
  <si>
    <t>Теплоэнергия</t>
  </si>
  <si>
    <t>Компонент на теплоэнергию</t>
  </si>
  <si>
    <t>Компонент на теплоноситель</t>
  </si>
  <si>
    <t>Электроэнергия</t>
  </si>
  <si>
    <t>Итого по КОСГУ 223 КВР 247</t>
  </si>
  <si>
    <t>Итого по КОСГУ 225 КВР 244</t>
  </si>
  <si>
    <t>Итого по КОСГУ 226 КВР 244</t>
  </si>
  <si>
    <t>Итого по КОСГУ 310 КВР 244</t>
  </si>
  <si>
    <t>Итого по КОСГУ 345 КВР 244</t>
  </si>
  <si>
    <t>Итого по КОСГУ 346 КВР 244</t>
  </si>
  <si>
    <t>Итого выплаты, уменьшающие доход</t>
  </si>
  <si>
    <t xml:space="preserve">Итого по КОСГУ 266 КВР 111 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</si>
  <si>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</si>
  <si>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Итого по КОСГУ 212 КВР 112</t>
  </si>
  <si>
    <t>Суточные в командировке</t>
  </si>
  <si>
    <t>Телематические услуги (интернет)</t>
  </si>
  <si>
    <t>Абонентская плата (Предоставление абонентской линией)</t>
  </si>
  <si>
    <t>Водоотведение</t>
  </si>
  <si>
    <t xml:space="preserve">ГВС, использованная при промывке системы отопления  </t>
  </si>
  <si>
    <t>Итого по КОСГУ 349 КВР 244</t>
  </si>
  <si>
    <t>Итого по КОСГУ 227 КВР 244</t>
  </si>
  <si>
    <t>федеральный бюджет</t>
  </si>
  <si>
    <t>Родительская плата</t>
  </si>
  <si>
    <t>Возмещение расходов за коммунальные затраты</t>
  </si>
  <si>
    <t>0701</t>
  </si>
  <si>
    <t>1004</t>
  </si>
  <si>
    <t>0702</t>
  </si>
  <si>
    <t>0709</t>
  </si>
  <si>
    <t>Содержание воспитателей ГПД, содержание дополнительной штатной численности поваров</t>
  </si>
  <si>
    <t>Летняя занятость подростков</t>
  </si>
  <si>
    <t>Мероприятия по сохранению и развитию материально-технической базы муниципальных учреждений. Приобретение прочих основных средств</t>
  </si>
  <si>
    <t>0707</t>
  </si>
  <si>
    <t>Дезинсекция помещений</t>
  </si>
  <si>
    <t>Дератизация помещений</t>
  </si>
  <si>
    <t>Техническое обслуживание и оказание услуг по техническому мониторингу сосотояния АПС</t>
  </si>
  <si>
    <t xml:space="preserve">Обслуживание АПС и СО </t>
  </si>
  <si>
    <t>Аккарицидная обработка (20 000м2*0.75)</t>
  </si>
  <si>
    <t>Обслуживание видеонаблюдения</t>
  </si>
  <si>
    <t>Техническое обслуживание и ремонт автобуса</t>
  </si>
  <si>
    <t>Обслуживание тревожной кнопки</t>
  </si>
  <si>
    <t>Технический осмотр автобуса</t>
  </si>
  <si>
    <t>Заправка картриджей, ремонт оргтехники, техническое обслуживание, ремонт компьютерной техники</t>
  </si>
  <si>
    <t>Обслуживание программы 1С Бухгалтерия, Зарплата</t>
  </si>
  <si>
    <t>Увеличение стоимости продуктов питания</t>
  </si>
  <si>
    <t>Увеличение стоимости горюче-смазочных материалов</t>
  </si>
  <si>
    <t>Итого по КОСГУ 342 КВР 244</t>
  </si>
  <si>
    <t>Итого по КОСГУ 343 КВР 244</t>
  </si>
  <si>
    <t>Увеличение стоимости материалов</t>
  </si>
  <si>
    <t>Приобретение пособий</t>
  </si>
  <si>
    <t>Субсиди на иные цели</t>
  </si>
  <si>
    <t>Итого по КОСГУ 211 КВР 110</t>
  </si>
  <si>
    <t>ор</t>
  </si>
  <si>
    <t>Родительская плата за путевки</t>
  </si>
  <si>
    <t>Оплата проезда до места работы сотрудников</t>
  </si>
  <si>
    <t>Итого по КОСГУ 222 КВР 112</t>
  </si>
  <si>
    <t>Стирка белья</t>
  </si>
  <si>
    <t>% банка за квитанцию</t>
  </si>
  <si>
    <t>Оплата за медицинский осмотр</t>
  </si>
  <si>
    <t>Питание ребенка</t>
  </si>
  <si>
    <t>Организация питания</t>
  </si>
  <si>
    <t xml:space="preserve">Питание сотрудников 95% с начислениями </t>
  </si>
  <si>
    <t>Сан.вирусол.исслед.воды</t>
  </si>
  <si>
    <t>Хоз.расходы</t>
  </si>
  <si>
    <t>Культ.расходы</t>
  </si>
  <si>
    <t>Страхование детей</t>
  </si>
  <si>
    <t>апролд</t>
  </si>
  <si>
    <t xml:space="preserve">Приобретение хозяйственных и моющих средств </t>
  </si>
  <si>
    <t>Приобретение канц.товаров (бумаги офисной)</t>
  </si>
  <si>
    <t>Переоборудование и установка системы ГЛОНАСС (БНСО), СИМ карт и настройка идентификации с подключением РИНС с установкой одного АРМ и Выдачей свидетельств о подключении к РИНС ЛО</t>
  </si>
  <si>
    <t>Охранные услуги</t>
  </si>
  <si>
    <t>Гидравлическая промывка системы теплоснабжения</t>
  </si>
  <si>
    <t>ТО и мониторинг системы АПС и СО</t>
  </si>
  <si>
    <t xml:space="preserve">Аккарицидная обработка </t>
  </si>
  <si>
    <t>Заправка картриджей, ремонт оргтехники, ремонт оборудования. Техническое обслуживание компьютерной техники</t>
  </si>
  <si>
    <t>Сан.гигл.исслед.воды</t>
  </si>
  <si>
    <t xml:space="preserve">Снегоуборщик бензиновый </t>
  </si>
  <si>
    <t>Мотокоса</t>
  </si>
  <si>
    <t>Приобретение сувенирной продукции</t>
  </si>
  <si>
    <t>Ремонт автобуса</t>
  </si>
  <si>
    <t>Обслуживание программы 1С: Бухгалтерия "Зарплата и Кадры"</t>
  </si>
  <si>
    <t>Испытания пожарного оборудования, перекатка пожарных рукавов</t>
  </si>
  <si>
    <t>Обучение сотрудников тепло, электробезопасность, охрана труда, ГО и ЧС, специалист по закупкам</t>
  </si>
  <si>
    <t>Санитарно-гигиеническое обучение</t>
  </si>
  <si>
    <t>Перезаправка огнетушителей</t>
  </si>
  <si>
    <t>Предоставление канала связи для сигнала тревожной кнопки</t>
  </si>
  <si>
    <t>Медосмотр сотрудников</t>
  </si>
  <si>
    <t>Лабораторные исследования, смывы</t>
  </si>
  <si>
    <t>Приобретение канцелярских товаров</t>
  </si>
  <si>
    <t>МОУ "Пчевская СОШ имени Садыка Джумабаева"</t>
  </si>
  <si>
    <t>963323044</t>
  </si>
  <si>
    <t>963323097</t>
  </si>
  <si>
    <t>963323050</t>
  </si>
  <si>
    <r>
      <rPr>
        <b/>
        <sz val="10"/>
        <rFont val="Times New Roman"/>
        <family val="1"/>
        <charset val="204"/>
      </rPr>
      <t>Наименование учреждения</t>
    </r>
    <r>
      <rPr>
        <sz val="10"/>
        <rFont val="Times New Roman"/>
        <family val="1"/>
        <charset val="204"/>
      </rPr>
      <t xml:space="preserve"> </t>
    </r>
  </si>
  <si>
    <r>
      <t xml:space="preserve">Примечание </t>
    </r>
    <r>
      <rPr>
        <sz val="10"/>
        <rFont val="Times New Roman"/>
        <family val="1"/>
        <charset val="204"/>
      </rPr>
      <t>(указываются причины изменения показателей)</t>
    </r>
  </si>
  <si>
    <t>Остаток средств на начало текущего финансового года</t>
  </si>
  <si>
    <t xml:space="preserve">Прочие выплаты, всего </t>
  </si>
  <si>
    <t>из них: возврат в бюджет средств субсидии</t>
  </si>
  <si>
    <t>Приобретение аттестатов</t>
  </si>
  <si>
    <t>Санитарно-вируологическое исследование</t>
  </si>
  <si>
    <t>Техническое обслуживание средств ТС</t>
  </si>
  <si>
    <t>Информационно-навигационное обеспечение (ГЛОНАС)</t>
  </si>
  <si>
    <t>Активация и калибровка тахографа</t>
  </si>
  <si>
    <t>Поверка приборов учета, замена комплектующих (батареи), дефектация</t>
  </si>
  <si>
    <t>Карта водителя СКЗИ для тахографа</t>
  </si>
  <si>
    <t>Экспертное заключение (к акарицидной обработке)</t>
  </si>
  <si>
    <t>Настройка подключения БНСО (ГЛОНАС)</t>
  </si>
  <si>
    <t>Итого по КОСГУ 852 КВР 291</t>
  </si>
  <si>
    <t>Госпошлина на регистрацию ТС</t>
  </si>
  <si>
    <t>Дезинфекция постельных принадлежностей силами специализированной организации</t>
  </si>
  <si>
    <t>Телематические услуги связи (Интерент), Абон/ плата</t>
  </si>
  <si>
    <t xml:space="preserve">Увеличение стоимости продуктов питания </t>
  </si>
  <si>
    <t>Пояснительная записка к плану финансово-хозяйственной деятельности  (изменений к плану) на __2024_______год</t>
  </si>
  <si>
    <t>963324005</t>
  </si>
  <si>
    <t>963324097</t>
  </si>
  <si>
    <t>963324044</t>
  </si>
  <si>
    <t>Испытание внутреннего противопожарного водопровода, заправка огнетушителей</t>
  </si>
  <si>
    <t>Обучение сотрудников тепло, электробезопасность</t>
  </si>
  <si>
    <t>Капитальный ремонт здания сада</t>
  </si>
  <si>
    <t>Капитальный ремонт здания школы</t>
  </si>
  <si>
    <t>Cодержание дополнительной штатной численности поваров</t>
  </si>
  <si>
    <t>Обеспечение комплексного развития сельских территорий (ремонт имущества и благоустройство территории)</t>
  </si>
  <si>
    <t>Приобретение посуды</t>
  </si>
  <si>
    <t>Канцелярские товары</t>
  </si>
  <si>
    <t>Приобретение постельного белья воспитанникам детского сада</t>
  </si>
  <si>
    <t>Техническое обслуживание АИТП</t>
  </si>
  <si>
    <t>Учебники</t>
  </si>
  <si>
    <t>Услуги связи (тревожная кнопка)</t>
  </si>
  <si>
    <t>Уточнение суммы по КФСР в соответствии с договором</t>
  </si>
  <si>
    <t>Уведомление об изменении бюджетных ассигнований и лимитов бюджетных обязательств № 5 от 11.01.2024</t>
  </si>
  <si>
    <t>Перенос между КОСГУ, по потребности, в соответствии с заключением договора</t>
  </si>
  <si>
    <t>Уведомление об изменении бюджетных ассигнований и лимитов бюджетных обязательств № 1 от 11.01.2024</t>
  </si>
  <si>
    <t>Уведомление об изменении бюджетных ассигнований и лимитов бюджетных обязательств № 5 от 11.01.2024,  , 3048 от 25.12.2023, 4244 от 27.12.2023г. фед. классное рук-во</t>
  </si>
  <si>
    <t>Уведомление об изменении бюджетных ассигнований и лимитов бюджетных обязательств № 17 от 11.01.2024</t>
  </si>
  <si>
    <t>Уведомление об изменении бюджетных ассигнований и лимитов бюджетных обязательств № 5 от 11.01.2024,  , 3048 от 25.12.2023, 4244 от 27.12.2023г. фед. классное рук-во,  № 2769 от 25.12.2023 года (Советники),  №4290 от 27.12.2023</t>
  </si>
  <si>
    <t>Уведомление № 2769 от 25.12.2023 года (Советники) Уведомление №4290 от 27.12.2023</t>
  </si>
  <si>
    <t>Образовательные услуги (обучение пед. Работники)</t>
  </si>
  <si>
    <t>Расходомер - счетчик электромагнитный</t>
  </si>
  <si>
    <t>ГВС при промывке</t>
  </si>
  <si>
    <t>Компьютер в кабинет заведюущего структурным подразделением, МФУ, кресло руководителя</t>
  </si>
  <si>
    <t>Мебель в группы детского сада</t>
  </si>
  <si>
    <t>остаток</t>
  </si>
  <si>
    <t>Уведомление об изменении бюджетных ассигнований и лимитов бюджетных обязательств № 175 от 28.02.2024</t>
  </si>
  <si>
    <t>Уведомление об изменении бюджетных ассигнований и лимитов бюджетных обязательств № 325 от 11.03.2024</t>
  </si>
  <si>
    <t>Уточнение КВФО  в соответствии с договором</t>
  </si>
  <si>
    <t>Распределены остатки средств на начало года</t>
  </si>
  <si>
    <t>Канцелярские товары, чпортивный и игровой инвентарь для учебных целей</t>
  </si>
  <si>
    <t>от 02_апреля 2024г.</t>
  </si>
  <si>
    <t>Мероприятия по сохранению и развитию материально-технической базы муниципальных учреждений общего образования (ремонт имущества и благоустройство территории)</t>
  </si>
  <si>
    <t>Оплата труда (КЦСР 772EВ51790)</t>
  </si>
  <si>
    <t>Взносы по обязательному социальному страхованию на выплаты по оплате труда работников (КЦСР 772EВ51790)</t>
  </si>
  <si>
    <t>Санитарно-вируологическое исследование (за счет остатка денежных средств на 01.01.2024г.)</t>
  </si>
  <si>
    <t>Аварийный ремонт движимого и недвижимого имущества (дверного блока в помещении №30)</t>
  </si>
  <si>
    <t>Вода (за счет остатка денежных средств на 01.01.2024г.)</t>
  </si>
  <si>
    <t>Водоотведение  (за счет остатка денежных средств на 01.01.2024г.)</t>
  </si>
  <si>
    <t>Теплоэнергия  (за счет остатка денежных средств на 01.01.2024г.)</t>
  </si>
  <si>
    <t>Компонент на теплоэнергию  (за счет остатка денежных средств на 01.01.2024г.)</t>
  </si>
  <si>
    <t>Компонент на теплоноситель  (за счет остатка денежных средств на 01.01.2024г.)</t>
  </si>
  <si>
    <t>Электроэнергия  (за счет остатка денежных средств на 01.01.2024г.)</t>
  </si>
  <si>
    <t>Увеличение стоимости горюче-смазочных материалов (бензин для школьного автобуса)</t>
  </si>
  <si>
    <t>Приобретение канцелярских товаров для учебных целей</t>
  </si>
  <si>
    <t>Хозяйственные товары (за счет остатка денежных средств на 01.01.2024г.)</t>
  </si>
  <si>
    <t>Приобретение учебных пособий</t>
  </si>
  <si>
    <t>Специальная оценка условий труда  (за счет остатка денежных средств на 01.01.2024г.)</t>
  </si>
  <si>
    <t>Электроэнцефалография с функциональными пробами  (за счет остатка денежных средств на 01.01.2024г.)</t>
  </si>
  <si>
    <t>Аккарицидная обработка   (за счет остатка денежных средств на 01.01.2024г.)</t>
  </si>
  <si>
    <t>Строительные товары (кисти, краска)  (за счет остатка денежных средств на 01.01.2024г.)</t>
  </si>
  <si>
    <t>Заправка картриджей, ремонт оргтехники, техническое обслуживание, ремонт компьютерной техники  (за счет остатка денежных средств на 01.01.2024г.)</t>
  </si>
  <si>
    <t>Приобретение оборудования для актового зала  (за счет остатка денежных средств на 01.01.2024г.)</t>
  </si>
  <si>
    <t>Приобретение жалюзи для актового зала  (за счет остатка денежных средств на 01.01.2024г.)</t>
  </si>
  <si>
    <t xml:space="preserve">Наименование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</si>
</sst>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_ ;\-#,##0.00\ "/>
    <numFmt numFmtId="165" formatCode="#,##0.0000_ ;\-#,##0.0000\ "/>
    <numFmt numFmtId="166" formatCode="0_ ;\-0\ "/>
    <numFmt numFmtId="167" formatCode="#,##0_ ;\-#,##0\ 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0" fontId="1" fillId="2" borderId="8" xfId="1" applyNumberFormat="1" applyFont="1" applyFill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9" fillId="0" borderId="22" xfId="1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1" fillId="0" borderId="23" xfId="1" applyNumberFormat="1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9" fillId="2" borderId="8" xfId="1" applyNumberFormat="1" applyFont="1" applyFill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" fillId="0" borderId="22" xfId="1" applyNumberFormat="1" applyFont="1" applyBorder="1" applyAlignment="1">
      <alignment vertical="center"/>
    </xf>
    <xf numFmtId="164" fontId="9" fillId="2" borderId="6" xfId="1" applyNumberFormat="1" applyFont="1" applyFill="1" applyBorder="1" applyAlignment="1">
      <alignment vertical="center"/>
    </xf>
    <xf numFmtId="164" fontId="1" fillId="2" borderId="6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wrapText="1"/>
    </xf>
    <xf numFmtId="49" fontId="1" fillId="2" borderId="8" xfId="1" applyNumberFormat="1" applyFont="1" applyFill="1" applyBorder="1" applyAlignment="1">
      <alignment vertical="center"/>
    </xf>
    <xf numFmtId="164" fontId="9" fillId="0" borderId="16" xfId="1" applyNumberFormat="1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164" fontId="9" fillId="0" borderId="11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1" fillId="2" borderId="11" xfId="1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2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49" fontId="9" fillId="2" borderId="1" xfId="1" applyNumberFormat="1" applyFont="1" applyFill="1" applyBorder="1" applyAlignment="1">
      <alignment vertical="center"/>
    </xf>
    <xf numFmtId="164" fontId="9" fillId="0" borderId="12" xfId="1" applyNumberFormat="1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164" fontId="9" fillId="0" borderId="23" xfId="1" applyNumberFormat="1" applyFont="1" applyBorder="1" applyAlignment="1">
      <alignment vertical="center"/>
    </xf>
    <xf numFmtId="164" fontId="1" fillId="2" borderId="8" xfId="1" applyNumberFormat="1" applyFont="1" applyFill="1" applyBorder="1" applyAlignment="1">
      <alignment vertical="center"/>
    </xf>
    <xf numFmtId="164" fontId="9" fillId="2" borderId="16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wrapText="1"/>
    </xf>
    <xf numFmtId="164" fontId="1" fillId="2" borderId="16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49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4" fontId="9" fillId="0" borderId="31" xfId="1" applyNumberFormat="1" applyFont="1" applyBorder="1" applyAlignment="1">
      <alignment vertical="center"/>
    </xf>
    <xf numFmtId="164" fontId="9" fillId="2" borderId="31" xfId="1" applyNumberFormat="1" applyFont="1" applyFill="1" applyBorder="1" applyAlignment="1">
      <alignment vertical="center"/>
    </xf>
    <xf numFmtId="164" fontId="9" fillId="0" borderId="34" xfId="1" applyNumberFormat="1" applyFont="1" applyBorder="1" applyAlignment="1">
      <alignment vertical="center"/>
    </xf>
    <xf numFmtId="164" fontId="9" fillId="0" borderId="32" xfId="1" applyNumberFormat="1" applyFont="1" applyBorder="1" applyAlignment="1">
      <alignment vertical="center"/>
    </xf>
    <xf numFmtId="164" fontId="9" fillId="0" borderId="33" xfId="1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164" fontId="16" fillId="2" borderId="0" xfId="0" applyNumberFormat="1" applyFont="1" applyFill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165" fontId="1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9"/>
  <sheetViews>
    <sheetView tabSelected="1" topLeftCell="A4" zoomScale="70" zoomScaleNormal="70" workbookViewId="0">
      <pane xSplit="4" ySplit="7" topLeftCell="L113" activePane="bottomRight" state="frozen"/>
      <selection activeCell="A4" sqref="A4"/>
      <selection pane="topRight" activeCell="E4" sqref="E4"/>
      <selection pane="bottomLeft" activeCell="A11" sqref="A11"/>
      <selection pane="bottomRight" activeCell="W113" sqref="W113:X118"/>
    </sheetView>
  </sheetViews>
  <sheetFormatPr defaultColWidth="9.140625" defaultRowHeight="15.75" x14ac:dyDescent="0.25"/>
  <cols>
    <col min="1" max="1" width="33" style="15" customWidth="1"/>
    <col min="2" max="2" width="9" style="15" customWidth="1"/>
    <col min="3" max="3" width="9.42578125" style="15" customWidth="1"/>
    <col min="4" max="4" width="9.28515625" style="15" customWidth="1"/>
    <col min="5" max="6" width="14.5703125" style="105" customWidth="1"/>
    <col min="7" max="7" width="14.5703125" style="15" customWidth="1"/>
    <col min="8" max="8" width="16" style="15" customWidth="1"/>
    <col min="9" max="9" width="14.5703125" style="15" customWidth="1"/>
    <col min="10" max="10" width="13.140625" style="15" customWidth="1"/>
    <col min="11" max="11" width="13.42578125" style="15" customWidth="1"/>
    <col min="12" max="12" width="14.42578125" style="15" customWidth="1"/>
    <col min="13" max="14" width="16.28515625" style="105" customWidth="1"/>
    <col min="15" max="15" width="14.5703125" style="15" customWidth="1"/>
    <col min="16" max="16" width="11.28515625" style="15" customWidth="1"/>
    <col min="17" max="17" width="18.5703125" style="15" customWidth="1"/>
    <col min="18" max="18" width="11.5703125" style="15" customWidth="1"/>
    <col min="19" max="19" width="14" style="15" customWidth="1"/>
    <col min="20" max="20" width="18.5703125" style="15" customWidth="1"/>
    <col min="21" max="21" width="18.5703125" style="105" customWidth="1"/>
    <col min="22" max="22" width="16.42578125" style="105" customWidth="1"/>
    <col min="23" max="23" width="13.5703125" style="15" customWidth="1"/>
    <col min="24" max="24" width="15.7109375" style="15" customWidth="1"/>
    <col min="25" max="25" width="12.7109375" style="15" customWidth="1"/>
    <col min="26" max="26" width="12.5703125" style="15" customWidth="1"/>
    <col min="27" max="27" width="17" style="15" customWidth="1"/>
    <col min="28" max="28" width="16.140625" style="15" customWidth="1"/>
    <col min="29" max="29" width="17.42578125" style="15" customWidth="1"/>
    <col min="30" max="31" width="9.140625" style="149"/>
    <col min="32" max="16384" width="9.140625" style="1"/>
  </cols>
  <sheetData>
    <row r="1" spans="1:31" ht="51.75" customHeight="1" x14ac:dyDescent="0.25">
      <c r="Z1" s="164" t="s">
        <v>19</v>
      </c>
      <c r="AA1" s="165"/>
      <c r="AB1" s="165"/>
    </row>
    <row r="2" spans="1:31" ht="31.9" customHeight="1" x14ac:dyDescent="0.25">
      <c r="Z2" s="165" t="s">
        <v>10</v>
      </c>
      <c r="AA2" s="165"/>
      <c r="AB2" s="165"/>
    </row>
    <row r="3" spans="1:31" s="50" customFormat="1" ht="24.75" customHeight="1" x14ac:dyDescent="0.25">
      <c r="A3" s="154" t="s">
        <v>143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48"/>
      <c r="Z3" s="48"/>
      <c r="AA3" s="48"/>
      <c r="AB3" s="48"/>
      <c r="AC3" s="48"/>
      <c r="AD3" s="150"/>
      <c r="AE3" s="150"/>
    </row>
    <row r="4" spans="1:31" s="50" customFormat="1" ht="25.5" customHeight="1" x14ac:dyDescent="0.25">
      <c r="A4" s="154" t="s">
        <v>178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48"/>
      <c r="Z4" s="48"/>
      <c r="AA4" s="48"/>
      <c r="AB4" s="48"/>
      <c r="AC4" s="48"/>
      <c r="AD4" s="150"/>
      <c r="AE4" s="150"/>
    </row>
    <row r="5" spans="1:31" s="38" customFormat="1" x14ac:dyDescent="0.25">
      <c r="A5" s="53" t="s">
        <v>201</v>
      </c>
      <c r="B5" s="53"/>
      <c r="C5" s="53"/>
      <c r="D5" s="156" t="s">
        <v>120</v>
      </c>
      <c r="E5" s="157"/>
      <c r="F5" s="157"/>
      <c r="G5" s="157"/>
      <c r="H5" s="157"/>
      <c r="I5" s="157"/>
      <c r="J5" s="157"/>
      <c r="K5" s="157"/>
      <c r="L5" s="157"/>
      <c r="M5" s="98"/>
      <c r="N5" s="98"/>
      <c r="O5" s="98"/>
      <c r="P5" s="98"/>
      <c r="Q5" s="142"/>
      <c r="R5" s="142"/>
      <c r="S5" s="142"/>
      <c r="T5" s="142"/>
      <c r="U5" s="132"/>
      <c r="V5" s="132"/>
      <c r="W5" s="142"/>
      <c r="X5" s="142"/>
      <c r="Y5" s="53"/>
      <c r="Z5" s="53"/>
      <c r="AA5" s="53"/>
      <c r="AB5" s="53"/>
      <c r="AC5" s="53"/>
      <c r="AD5" s="98"/>
      <c r="AE5" s="98"/>
    </row>
    <row r="6" spans="1:31" s="38" customFormat="1" x14ac:dyDescent="0.25">
      <c r="A6" s="53"/>
      <c r="B6" s="53"/>
      <c r="C6" s="53"/>
      <c r="D6" s="53"/>
      <c r="E6" s="48"/>
      <c r="F6" s="48"/>
      <c r="G6" s="53"/>
      <c r="H6" s="53"/>
      <c r="I6" s="53"/>
      <c r="J6" s="53"/>
      <c r="K6" s="53"/>
      <c r="L6" s="53"/>
      <c r="M6" s="48"/>
      <c r="N6" s="48"/>
      <c r="O6" s="53"/>
      <c r="P6" s="53"/>
      <c r="Q6" s="53"/>
      <c r="R6" s="53"/>
      <c r="S6" s="53"/>
      <c r="T6" s="53"/>
      <c r="U6" s="48"/>
      <c r="V6" s="48"/>
      <c r="W6" s="53"/>
      <c r="X6" s="53"/>
      <c r="Y6" s="53"/>
      <c r="Z6" s="53"/>
      <c r="AA6" s="53"/>
      <c r="AB6" s="53"/>
      <c r="AC6" s="53"/>
      <c r="AD6" s="98"/>
      <c r="AE6" s="98"/>
    </row>
    <row r="7" spans="1:31" s="50" customFormat="1" ht="37.5" customHeight="1" x14ac:dyDescent="0.25">
      <c r="A7" s="158" t="s">
        <v>18</v>
      </c>
      <c r="B7" s="159" t="s">
        <v>15</v>
      </c>
      <c r="C7" s="159" t="s">
        <v>11</v>
      </c>
      <c r="D7" s="159" t="s">
        <v>12</v>
      </c>
      <c r="E7" s="160" t="s">
        <v>14</v>
      </c>
      <c r="F7" s="160"/>
      <c r="G7" s="160"/>
      <c r="H7" s="160"/>
      <c r="I7" s="160"/>
      <c r="J7" s="160"/>
      <c r="K7" s="160"/>
      <c r="L7" s="160"/>
      <c r="M7" s="160" t="s">
        <v>7</v>
      </c>
      <c r="N7" s="160"/>
      <c r="O7" s="160"/>
      <c r="P7" s="160"/>
      <c r="Q7" s="160"/>
      <c r="R7" s="160"/>
      <c r="S7" s="160"/>
      <c r="T7" s="160"/>
      <c r="U7" s="160" t="s">
        <v>8</v>
      </c>
      <c r="V7" s="160"/>
      <c r="W7" s="160"/>
      <c r="X7" s="160"/>
      <c r="Y7" s="160"/>
      <c r="Z7" s="160"/>
      <c r="AA7" s="160"/>
      <c r="AB7" s="160"/>
      <c r="AC7" s="166" t="s">
        <v>125</v>
      </c>
      <c r="AD7" s="150"/>
      <c r="AE7" s="150"/>
    </row>
    <row r="8" spans="1:31" s="42" customFormat="1" ht="39.75" customHeight="1" x14ac:dyDescent="0.25">
      <c r="A8" s="158"/>
      <c r="B8" s="159"/>
      <c r="C8" s="159"/>
      <c r="D8" s="159"/>
      <c r="E8" s="160" t="s">
        <v>13</v>
      </c>
      <c r="F8" s="159" t="s">
        <v>0</v>
      </c>
      <c r="G8" s="161"/>
      <c r="H8" s="161"/>
      <c r="I8" s="161"/>
      <c r="J8" s="161"/>
      <c r="K8" s="161"/>
      <c r="L8" s="161"/>
      <c r="M8" s="160" t="s">
        <v>13</v>
      </c>
      <c r="N8" s="159" t="s">
        <v>0</v>
      </c>
      <c r="O8" s="167"/>
      <c r="P8" s="167"/>
      <c r="Q8" s="167"/>
      <c r="R8" s="167"/>
      <c r="S8" s="167"/>
      <c r="T8" s="167"/>
      <c r="U8" s="160" t="s">
        <v>13</v>
      </c>
      <c r="V8" s="159" t="s">
        <v>0</v>
      </c>
      <c r="W8" s="167"/>
      <c r="X8" s="167"/>
      <c r="Y8" s="167"/>
      <c r="Z8" s="167"/>
      <c r="AA8" s="167"/>
      <c r="AB8" s="167"/>
      <c r="AC8" s="166"/>
      <c r="AD8" s="53"/>
      <c r="AE8" s="53"/>
    </row>
    <row r="9" spans="1:31" s="42" customFormat="1" ht="39.75" customHeight="1" x14ac:dyDescent="0.25">
      <c r="A9" s="158"/>
      <c r="B9" s="159"/>
      <c r="C9" s="159"/>
      <c r="D9" s="159"/>
      <c r="E9" s="160"/>
      <c r="F9" s="158" t="s">
        <v>1</v>
      </c>
      <c r="G9" s="161"/>
      <c r="H9" s="161"/>
      <c r="I9" s="158" t="s">
        <v>2</v>
      </c>
      <c r="J9" s="158"/>
      <c r="K9" s="158"/>
      <c r="L9" s="158" t="s">
        <v>3</v>
      </c>
      <c r="M9" s="160"/>
      <c r="N9" s="158" t="s">
        <v>1</v>
      </c>
      <c r="O9" s="167"/>
      <c r="P9" s="167"/>
      <c r="Q9" s="158" t="s">
        <v>2</v>
      </c>
      <c r="R9" s="158"/>
      <c r="S9" s="158"/>
      <c r="T9" s="158" t="s">
        <v>3</v>
      </c>
      <c r="U9" s="160"/>
      <c r="V9" s="158" t="s">
        <v>1</v>
      </c>
      <c r="W9" s="167"/>
      <c r="X9" s="167"/>
      <c r="Y9" s="158" t="s">
        <v>2</v>
      </c>
      <c r="Z9" s="158"/>
      <c r="AA9" s="158"/>
      <c r="AB9" s="158" t="s">
        <v>3</v>
      </c>
      <c r="AC9" s="166"/>
      <c r="AD9" s="53"/>
      <c r="AE9" s="53"/>
    </row>
    <row r="10" spans="1:31" s="42" customFormat="1" ht="72" customHeight="1" x14ac:dyDescent="0.25">
      <c r="A10" s="158"/>
      <c r="B10" s="159"/>
      <c r="C10" s="159"/>
      <c r="D10" s="159"/>
      <c r="E10" s="160"/>
      <c r="F10" s="143" t="s">
        <v>53</v>
      </c>
      <c r="G10" s="143" t="s">
        <v>4</v>
      </c>
      <c r="H10" s="143" t="s">
        <v>5</v>
      </c>
      <c r="I10" s="143" t="s">
        <v>6</v>
      </c>
      <c r="J10" s="143" t="s">
        <v>4</v>
      </c>
      <c r="K10" s="143" t="s">
        <v>5</v>
      </c>
      <c r="L10" s="158"/>
      <c r="M10" s="160"/>
      <c r="N10" s="143" t="str">
        <f>V10</f>
        <v>федеральный бюджет</v>
      </c>
      <c r="O10" s="143" t="s">
        <v>4</v>
      </c>
      <c r="P10" s="143" t="s">
        <v>5</v>
      </c>
      <c r="Q10" s="143" t="s">
        <v>6</v>
      </c>
      <c r="R10" s="143" t="s">
        <v>4</v>
      </c>
      <c r="S10" s="143" t="s">
        <v>5</v>
      </c>
      <c r="T10" s="158"/>
      <c r="U10" s="160"/>
      <c r="V10" s="143" t="str">
        <f>F10</f>
        <v>федеральный бюджет</v>
      </c>
      <c r="W10" s="143" t="s">
        <v>4</v>
      </c>
      <c r="X10" s="143" t="s">
        <v>5</v>
      </c>
      <c r="Y10" s="143" t="s">
        <v>6</v>
      </c>
      <c r="Z10" s="143" t="s">
        <v>4</v>
      </c>
      <c r="AA10" s="143" t="s">
        <v>5</v>
      </c>
      <c r="AB10" s="158"/>
      <c r="AC10" s="166"/>
      <c r="AD10" s="53"/>
      <c r="AE10" s="53"/>
    </row>
    <row r="11" spans="1:31" s="42" customFormat="1" ht="56.25" customHeight="1" x14ac:dyDescent="0.25">
      <c r="A11" s="125" t="s">
        <v>126</v>
      </c>
      <c r="B11" s="140" t="s">
        <v>56</v>
      </c>
      <c r="C11" s="144"/>
      <c r="D11" s="144"/>
      <c r="E11" s="70">
        <f>SUM(G11+H11+J11+K11+L11)+F11</f>
        <v>0</v>
      </c>
      <c r="F11" s="143"/>
      <c r="G11" s="143"/>
      <c r="H11" s="143"/>
      <c r="I11" s="143"/>
      <c r="J11" s="143"/>
      <c r="K11" s="143"/>
      <c r="L11" s="143"/>
      <c r="M11" s="70">
        <f>+O11+P11+R11+S11+T11+N11</f>
        <v>242896.32</v>
      </c>
      <c r="N11" s="143"/>
      <c r="O11" s="143"/>
      <c r="P11" s="143">
        <v>183473.85</v>
      </c>
      <c r="Q11" s="143"/>
      <c r="R11" s="143"/>
      <c r="S11" s="143"/>
      <c r="T11" s="143">
        <f>369804.59-T12-T13</f>
        <v>59422.47</v>
      </c>
      <c r="U11" s="70">
        <f>V11+W11+X11+AB11+Z11+AA11</f>
        <v>242896.32</v>
      </c>
      <c r="V11" s="146">
        <f>F11+N11</f>
        <v>0</v>
      </c>
      <c r="W11" s="146">
        <f t="shared" ref="W11" si="0">G11+O11</f>
        <v>0</v>
      </c>
      <c r="X11" s="146">
        <f t="shared" ref="X11" si="1">H11+P11</f>
        <v>183473.85</v>
      </c>
      <c r="Y11" s="146">
        <f t="shared" ref="Y11" si="2">I11+Q11</f>
        <v>0</v>
      </c>
      <c r="Z11" s="146">
        <f t="shared" ref="Z11" si="3">J11+R11</f>
        <v>0</v>
      </c>
      <c r="AA11" s="146">
        <f t="shared" ref="AA11" si="4">K11+S11</f>
        <v>0</v>
      </c>
      <c r="AB11" s="146">
        <f>L11+T11</f>
        <v>59422.47</v>
      </c>
      <c r="AC11" s="146"/>
      <c r="AD11" s="53"/>
      <c r="AE11" s="53"/>
    </row>
    <row r="12" spans="1:31" s="49" customFormat="1" ht="44.25" customHeight="1" x14ac:dyDescent="0.25">
      <c r="A12" s="115" t="s">
        <v>126</v>
      </c>
      <c r="B12" s="141" t="s">
        <v>58</v>
      </c>
      <c r="C12" s="145"/>
      <c r="D12" s="145"/>
      <c r="E12" s="70">
        <f>SUM(G12+H12+J12+K12+L12)+F12</f>
        <v>0</v>
      </c>
      <c r="F12" s="146"/>
      <c r="G12" s="130"/>
      <c r="H12" s="146"/>
      <c r="I12" s="146"/>
      <c r="J12" s="146"/>
      <c r="K12" s="146"/>
      <c r="L12" s="146"/>
      <c r="M12" s="70">
        <f>+O12+P12+R12+S12+T12+N12</f>
        <v>458835.03</v>
      </c>
      <c r="N12" s="146"/>
      <c r="O12" s="146"/>
      <c r="P12" s="143">
        <v>151302.32</v>
      </c>
      <c r="Q12" s="146"/>
      <c r="R12" s="146"/>
      <c r="S12" s="146"/>
      <c r="T12" s="146">
        <v>307532.71000000002</v>
      </c>
      <c r="U12" s="70">
        <f>V12+W12+X12+AB12+Z12+AA12</f>
        <v>458835.03</v>
      </c>
      <c r="V12" s="146">
        <f>F12+N12</f>
        <v>0</v>
      </c>
      <c r="W12" s="146">
        <f t="shared" ref="W12:AB28" si="5">G12+O12</f>
        <v>0</v>
      </c>
      <c r="X12" s="146">
        <f t="shared" si="5"/>
        <v>151302.32</v>
      </c>
      <c r="Y12" s="146">
        <f t="shared" si="5"/>
        <v>0</v>
      </c>
      <c r="Z12" s="146">
        <f t="shared" si="5"/>
        <v>0</v>
      </c>
      <c r="AA12" s="146">
        <f t="shared" si="5"/>
        <v>0</v>
      </c>
      <c r="AB12" s="146">
        <f>L12+T12</f>
        <v>307532.71000000002</v>
      </c>
      <c r="AC12" s="133"/>
      <c r="AD12" s="48"/>
      <c r="AE12" s="48"/>
    </row>
    <row r="13" spans="1:31" s="42" customFormat="1" ht="32.25" customHeight="1" x14ac:dyDescent="0.25">
      <c r="A13" s="115" t="s">
        <v>126</v>
      </c>
      <c r="B13" s="140" t="s">
        <v>59</v>
      </c>
      <c r="C13" s="144"/>
      <c r="D13" s="144"/>
      <c r="E13" s="70">
        <f t="shared" ref="E13:E86" si="6">SUM(G13+H13+J13+K13+L13)+F13</f>
        <v>0</v>
      </c>
      <c r="F13" s="143"/>
      <c r="G13" s="143"/>
      <c r="H13" s="143"/>
      <c r="I13" s="143"/>
      <c r="J13" s="143"/>
      <c r="K13" s="143"/>
      <c r="L13" s="143"/>
      <c r="M13" s="70">
        <f>+O13+P13+R13+S13+T13</f>
        <v>33348</v>
      </c>
      <c r="N13" s="143"/>
      <c r="O13" s="143"/>
      <c r="P13" s="143">
        <f>24940.14+5558.45</f>
        <v>30498.59</v>
      </c>
      <c r="Q13" s="143"/>
      <c r="R13" s="143"/>
      <c r="S13" s="143"/>
      <c r="T13" s="143">
        <v>2849.41</v>
      </c>
      <c r="U13" s="70">
        <f t="shared" ref="U13:U87" si="7">V13+W13+X13+AB13+Z13+AA13</f>
        <v>33348</v>
      </c>
      <c r="V13" s="143">
        <f t="shared" ref="V13:AA80" si="8">F13+N13</f>
        <v>0</v>
      </c>
      <c r="W13" s="143">
        <f t="shared" si="5"/>
        <v>0</v>
      </c>
      <c r="X13" s="143">
        <f t="shared" si="5"/>
        <v>30498.59</v>
      </c>
      <c r="Y13" s="143">
        <f t="shared" si="5"/>
        <v>0</v>
      </c>
      <c r="Z13" s="143">
        <f t="shared" si="5"/>
        <v>0</v>
      </c>
      <c r="AA13" s="143">
        <f t="shared" si="5"/>
        <v>0</v>
      </c>
      <c r="AB13" s="143">
        <f t="shared" si="5"/>
        <v>2849.41</v>
      </c>
      <c r="AC13" s="146"/>
      <c r="AD13" s="53"/>
      <c r="AE13" s="53"/>
    </row>
    <row r="14" spans="1:31" s="50" customFormat="1" ht="63.75" x14ac:dyDescent="0.25">
      <c r="A14" s="119" t="s">
        <v>21</v>
      </c>
      <c r="B14" s="120"/>
      <c r="C14" s="118"/>
      <c r="D14" s="118">
        <v>131</v>
      </c>
      <c r="E14" s="70">
        <f t="shared" si="6"/>
        <v>6731750.4299999997</v>
      </c>
      <c r="F14" s="70"/>
      <c r="G14" s="70"/>
      <c r="H14" s="70">
        <f>SUM(H16:H19)</f>
        <v>6731750.4299999997</v>
      </c>
      <c r="I14" s="70"/>
      <c r="J14" s="70"/>
      <c r="K14" s="70"/>
      <c r="L14" s="70"/>
      <c r="M14" s="70">
        <f>+O14+P14+R14+S14+T14</f>
        <v>18881661.810000002</v>
      </c>
      <c r="N14" s="70">
        <f>N16+N18+N19+N17</f>
        <v>898348.09</v>
      </c>
      <c r="O14" s="70">
        <f>O16+O18+O19+O17</f>
        <v>18881661.800000001</v>
      </c>
      <c r="P14" s="70">
        <f>P16+P18+P19</f>
        <v>0.01</v>
      </c>
      <c r="Q14" s="70"/>
      <c r="R14" s="70"/>
      <c r="S14" s="70"/>
      <c r="T14" s="70"/>
      <c r="U14" s="70">
        <f>V14+W14+X14+AB14+Z14+AA14</f>
        <v>26511760.329999998</v>
      </c>
      <c r="V14" s="133">
        <f>F14+N14</f>
        <v>898348.09</v>
      </c>
      <c r="W14" s="133">
        <f>G14+O14</f>
        <v>18881661.800000001</v>
      </c>
      <c r="X14" s="146">
        <f t="shared" si="5"/>
        <v>6731750.4399999995</v>
      </c>
      <c r="Y14" s="146">
        <f t="shared" si="5"/>
        <v>0</v>
      </c>
      <c r="Z14" s="146">
        <f t="shared" si="5"/>
        <v>0</v>
      </c>
      <c r="AA14" s="146">
        <f t="shared" si="5"/>
        <v>0</v>
      </c>
      <c r="AB14" s="146">
        <f t="shared" si="5"/>
        <v>0</v>
      </c>
      <c r="AC14" s="118"/>
      <c r="AD14" s="150"/>
      <c r="AE14" s="150"/>
    </row>
    <row r="15" spans="1:31" s="38" customFormat="1" ht="0.75" customHeight="1" x14ac:dyDescent="0.25">
      <c r="A15" s="97" t="s">
        <v>22</v>
      </c>
      <c r="B15" s="96"/>
      <c r="C15" s="97"/>
      <c r="D15" s="97">
        <v>131</v>
      </c>
      <c r="E15" s="70">
        <f t="shared" si="6"/>
        <v>0</v>
      </c>
      <c r="F15" s="70"/>
      <c r="G15" s="56"/>
      <c r="H15" s="56"/>
      <c r="I15" s="56"/>
      <c r="J15" s="56"/>
      <c r="K15" s="56"/>
      <c r="L15" s="56"/>
      <c r="M15" s="70">
        <f t="shared" ref="M15:M87" si="9">+O15+P15+R15+S15+T15</f>
        <v>0</v>
      </c>
      <c r="N15" s="70"/>
      <c r="O15" s="56"/>
      <c r="P15" s="56"/>
      <c r="Q15" s="56"/>
      <c r="R15" s="56"/>
      <c r="S15" s="56"/>
      <c r="T15" s="56"/>
      <c r="U15" s="70">
        <f t="shared" si="7"/>
        <v>0</v>
      </c>
      <c r="V15" s="143">
        <f t="shared" si="8"/>
        <v>0</v>
      </c>
      <c r="W15" s="143">
        <f t="shared" si="5"/>
        <v>0</v>
      </c>
      <c r="X15" s="143">
        <f t="shared" si="5"/>
        <v>0</v>
      </c>
      <c r="Y15" s="143">
        <f t="shared" si="5"/>
        <v>0</v>
      </c>
      <c r="Z15" s="143">
        <f t="shared" si="5"/>
        <v>0</v>
      </c>
      <c r="AA15" s="143">
        <f t="shared" si="5"/>
        <v>0</v>
      </c>
      <c r="AB15" s="143">
        <f t="shared" si="5"/>
        <v>0</v>
      </c>
      <c r="AC15" s="97"/>
      <c r="AD15" s="98"/>
      <c r="AE15" s="98"/>
    </row>
    <row r="16" spans="1:31" s="38" customFormat="1" ht="102.75" customHeight="1" x14ac:dyDescent="0.25">
      <c r="A16" s="97"/>
      <c r="B16" s="96" t="s">
        <v>56</v>
      </c>
      <c r="C16" s="97"/>
      <c r="D16" s="97">
        <v>131</v>
      </c>
      <c r="E16" s="70">
        <f t="shared" si="6"/>
        <v>4117300</v>
      </c>
      <c r="F16" s="56"/>
      <c r="G16" s="56"/>
      <c r="H16" s="56">
        <f>4117300</f>
        <v>4117300</v>
      </c>
      <c r="I16" s="56"/>
      <c r="J16" s="56"/>
      <c r="K16" s="56"/>
      <c r="L16" s="56"/>
      <c r="M16" s="70">
        <f>+O16+P16+R16+S16+T16</f>
        <v>5626260</v>
      </c>
      <c r="N16" s="70"/>
      <c r="O16" s="56">
        <v>5626260</v>
      </c>
      <c r="P16" s="56"/>
      <c r="Q16" s="56"/>
      <c r="R16" s="56"/>
      <c r="S16" s="56"/>
      <c r="T16" s="56"/>
      <c r="U16" s="70">
        <f>V16+W16+X16+AB16+Z16+AA16</f>
        <v>9743560</v>
      </c>
      <c r="V16" s="143">
        <f t="shared" si="8"/>
        <v>0</v>
      </c>
      <c r="W16" s="136">
        <f>G16+O16</f>
        <v>5626260</v>
      </c>
      <c r="X16" s="143">
        <f t="shared" si="5"/>
        <v>4117300</v>
      </c>
      <c r="Y16" s="143">
        <f t="shared" si="5"/>
        <v>0</v>
      </c>
      <c r="Z16" s="143">
        <f t="shared" si="5"/>
        <v>0</v>
      </c>
      <c r="AA16" s="143">
        <f t="shared" si="5"/>
        <v>0</v>
      </c>
      <c r="AB16" s="143">
        <f t="shared" si="5"/>
        <v>0</v>
      </c>
      <c r="AC16" s="116" t="s">
        <v>162</v>
      </c>
      <c r="AD16" s="98"/>
      <c r="AE16" s="98"/>
    </row>
    <row r="17" spans="1:31" s="38" customFormat="1" ht="43.5" customHeight="1" x14ac:dyDescent="0.25">
      <c r="A17" s="97"/>
      <c r="B17" s="96" t="s">
        <v>57</v>
      </c>
      <c r="C17" s="97"/>
      <c r="D17" s="97">
        <v>131</v>
      </c>
      <c r="E17" s="70">
        <f t="shared" si="6"/>
        <v>0</v>
      </c>
      <c r="F17" s="70"/>
      <c r="G17" s="56"/>
      <c r="H17" s="56"/>
      <c r="I17" s="56"/>
      <c r="J17" s="56"/>
      <c r="K17" s="56"/>
      <c r="L17" s="56"/>
      <c r="M17" s="70">
        <f t="shared" si="9"/>
        <v>280000</v>
      </c>
      <c r="N17" s="70"/>
      <c r="O17" s="56">
        <v>280000</v>
      </c>
      <c r="P17" s="56"/>
      <c r="Q17" s="56"/>
      <c r="R17" s="56"/>
      <c r="S17" s="56"/>
      <c r="T17" s="56"/>
      <c r="U17" s="70">
        <f t="shared" si="7"/>
        <v>280000</v>
      </c>
      <c r="V17" s="143">
        <f t="shared" si="8"/>
        <v>0</v>
      </c>
      <c r="W17" s="136">
        <f t="shared" ref="W17:W26" si="10">G17+O17</f>
        <v>280000</v>
      </c>
      <c r="X17" s="143">
        <f t="shared" si="5"/>
        <v>0</v>
      </c>
      <c r="Y17" s="143">
        <f t="shared" si="5"/>
        <v>0</v>
      </c>
      <c r="Z17" s="143">
        <f t="shared" si="5"/>
        <v>0</v>
      </c>
      <c r="AA17" s="143">
        <f t="shared" si="5"/>
        <v>0</v>
      </c>
      <c r="AB17" s="143">
        <f t="shared" si="5"/>
        <v>0</v>
      </c>
      <c r="AC17" s="116"/>
      <c r="AD17" s="98"/>
      <c r="AE17" s="98"/>
    </row>
    <row r="18" spans="1:31" s="38" customFormat="1" ht="151.5" customHeight="1" x14ac:dyDescent="0.25">
      <c r="A18" s="97"/>
      <c r="B18" s="96" t="s">
        <v>58</v>
      </c>
      <c r="C18" s="97"/>
      <c r="D18" s="97">
        <v>131</v>
      </c>
      <c r="E18" s="70">
        <f t="shared" si="6"/>
        <v>2371397</v>
      </c>
      <c r="F18" s="56"/>
      <c r="G18" s="56"/>
      <c r="H18" s="56">
        <f>1908147+463250</f>
        <v>2371397</v>
      </c>
      <c r="I18" s="56"/>
      <c r="J18" s="56"/>
      <c r="K18" s="56"/>
      <c r="L18" s="56"/>
      <c r="M18" s="70">
        <f>+O18+P18+R18+S18+T18+N18</f>
        <v>13841461.129999999</v>
      </c>
      <c r="N18" s="56">
        <f>237348.09+661000</f>
        <v>898348.09</v>
      </c>
      <c r="O18" s="56">
        <f>12826210+116903.04</f>
        <v>12943113.039999999</v>
      </c>
      <c r="P18" s="56"/>
      <c r="Q18" s="134"/>
      <c r="R18" s="56"/>
      <c r="S18" s="56"/>
      <c r="T18" s="56"/>
      <c r="U18" s="70">
        <f t="shared" si="7"/>
        <v>16212858.129999999</v>
      </c>
      <c r="V18" s="143">
        <f t="shared" si="8"/>
        <v>898348.09</v>
      </c>
      <c r="W18" s="136">
        <f t="shared" si="10"/>
        <v>12943113.039999999</v>
      </c>
      <c r="X18" s="143">
        <f t="shared" si="5"/>
        <v>2371397</v>
      </c>
      <c r="Y18" s="143">
        <f t="shared" si="5"/>
        <v>0</v>
      </c>
      <c r="Z18" s="143">
        <f t="shared" si="5"/>
        <v>0</v>
      </c>
      <c r="AA18" s="143">
        <f t="shared" si="5"/>
        <v>0</v>
      </c>
      <c r="AB18" s="143">
        <f t="shared" si="5"/>
        <v>0</v>
      </c>
      <c r="AC18" s="116" t="s">
        <v>165</v>
      </c>
      <c r="AD18" s="98"/>
      <c r="AE18" s="98"/>
    </row>
    <row r="19" spans="1:31" s="103" customFormat="1" ht="108" customHeight="1" x14ac:dyDescent="0.25">
      <c r="A19" s="97"/>
      <c r="B19" s="96" t="s">
        <v>59</v>
      </c>
      <c r="C19" s="97"/>
      <c r="D19" s="97">
        <v>131</v>
      </c>
      <c r="E19" s="70">
        <f t="shared" si="6"/>
        <v>243053.43000000002</v>
      </c>
      <c r="F19" s="56"/>
      <c r="G19" s="117"/>
      <c r="H19" s="56">
        <f>3587.63+210417.76+29048.04</f>
        <v>243053.43000000002</v>
      </c>
      <c r="I19" s="56"/>
      <c r="J19" s="56"/>
      <c r="K19" s="56"/>
      <c r="L19" s="56"/>
      <c r="M19" s="70">
        <f>+O19+P19+R19+S19+T19</f>
        <v>32288.769999999997</v>
      </c>
      <c r="N19" s="70"/>
      <c r="O19" s="56">
        <v>32288.76</v>
      </c>
      <c r="P19" s="56">
        <v>0.01</v>
      </c>
      <c r="Q19" s="56"/>
      <c r="R19" s="56"/>
      <c r="S19" s="56"/>
      <c r="T19" s="56"/>
      <c r="U19" s="70">
        <f t="shared" si="7"/>
        <v>275342.2</v>
      </c>
      <c r="V19" s="143">
        <f t="shared" si="8"/>
        <v>0</v>
      </c>
      <c r="W19" s="136">
        <f t="shared" si="10"/>
        <v>32288.76</v>
      </c>
      <c r="X19" s="143">
        <f t="shared" si="5"/>
        <v>243053.44000000003</v>
      </c>
      <c r="Y19" s="143">
        <f t="shared" si="5"/>
        <v>0</v>
      </c>
      <c r="Z19" s="143">
        <f t="shared" si="5"/>
        <v>0</v>
      </c>
      <c r="AA19" s="143">
        <f t="shared" si="5"/>
        <v>0</v>
      </c>
      <c r="AB19" s="143">
        <f t="shared" si="5"/>
        <v>0</v>
      </c>
      <c r="AC19" s="116" t="s">
        <v>164</v>
      </c>
      <c r="AD19" s="98"/>
      <c r="AE19" s="98"/>
    </row>
    <row r="20" spans="1:31" s="98" customFormat="1" x14ac:dyDescent="0.25">
      <c r="A20" s="116" t="s">
        <v>54</v>
      </c>
      <c r="B20" s="96" t="s">
        <v>56</v>
      </c>
      <c r="C20" s="97"/>
      <c r="D20" s="97">
        <v>131</v>
      </c>
      <c r="E20" s="70">
        <f t="shared" si="6"/>
        <v>586670</v>
      </c>
      <c r="F20" s="70"/>
      <c r="G20" s="56"/>
      <c r="H20" s="56"/>
      <c r="I20" s="92"/>
      <c r="J20" s="56"/>
      <c r="K20" s="56"/>
      <c r="L20" s="56">
        <v>586670</v>
      </c>
      <c r="M20" s="70">
        <f>+O20+P20+R20+S20+T20</f>
        <v>-280000</v>
      </c>
      <c r="N20" s="70"/>
      <c r="O20" s="56"/>
      <c r="P20" s="56"/>
      <c r="Q20" s="56"/>
      <c r="R20" s="56"/>
      <c r="S20" s="56"/>
      <c r="T20" s="56">
        <v>-280000</v>
      </c>
      <c r="U20" s="70">
        <f>V20+W20+X20+AB20+Z20+AA20</f>
        <v>306670</v>
      </c>
      <c r="V20" s="143">
        <f t="shared" si="8"/>
        <v>0</v>
      </c>
      <c r="W20" s="136">
        <f t="shared" si="10"/>
        <v>0</v>
      </c>
      <c r="X20" s="143">
        <f t="shared" si="5"/>
        <v>0</v>
      </c>
      <c r="Y20" s="143">
        <f t="shared" si="5"/>
        <v>0</v>
      </c>
      <c r="Z20" s="143">
        <f t="shared" si="5"/>
        <v>0</v>
      </c>
      <c r="AA20" s="143">
        <f t="shared" si="5"/>
        <v>0</v>
      </c>
      <c r="AB20" s="136">
        <f>L20+T20</f>
        <v>306670</v>
      </c>
      <c r="AC20" s="97"/>
    </row>
    <row r="21" spans="1:31" s="38" customFormat="1" ht="102" x14ac:dyDescent="0.25">
      <c r="A21" s="116" t="s">
        <v>84</v>
      </c>
      <c r="B21" s="96" t="s">
        <v>59</v>
      </c>
      <c r="C21" s="97"/>
      <c r="D21" s="97">
        <v>131</v>
      </c>
      <c r="E21" s="70">
        <f t="shared" si="6"/>
        <v>49280</v>
      </c>
      <c r="F21" s="70"/>
      <c r="G21" s="56"/>
      <c r="H21" s="56"/>
      <c r="I21" s="92"/>
      <c r="J21" s="56"/>
      <c r="K21" s="56"/>
      <c r="L21" s="56">
        <v>49280</v>
      </c>
      <c r="M21" s="70">
        <f t="shared" si="9"/>
        <v>0</v>
      </c>
      <c r="N21" s="70"/>
      <c r="O21" s="56"/>
      <c r="P21" s="56"/>
      <c r="Q21" s="56"/>
      <c r="R21" s="56"/>
      <c r="S21" s="56"/>
      <c r="T21" s="56"/>
      <c r="U21" s="70">
        <f t="shared" si="7"/>
        <v>49280</v>
      </c>
      <c r="V21" s="143">
        <f t="shared" si="8"/>
        <v>0</v>
      </c>
      <c r="W21" s="136">
        <f t="shared" si="10"/>
        <v>0</v>
      </c>
      <c r="X21" s="143">
        <f t="shared" si="5"/>
        <v>0</v>
      </c>
      <c r="Y21" s="143">
        <f t="shared" si="5"/>
        <v>0</v>
      </c>
      <c r="Z21" s="143">
        <f t="shared" si="5"/>
        <v>0</v>
      </c>
      <c r="AA21" s="143">
        <f t="shared" si="5"/>
        <v>0</v>
      </c>
      <c r="AB21" s="143">
        <f t="shared" si="5"/>
        <v>49280</v>
      </c>
      <c r="AC21" s="116" t="s">
        <v>164</v>
      </c>
      <c r="AD21" s="98"/>
      <c r="AE21" s="98"/>
    </row>
    <row r="22" spans="1:31" s="38" customFormat="1" ht="25.5" x14ac:dyDescent="0.25">
      <c r="A22" s="116" t="s">
        <v>55</v>
      </c>
      <c r="B22" s="96" t="s">
        <v>58</v>
      </c>
      <c r="C22" s="97"/>
      <c r="D22" s="97">
        <v>134</v>
      </c>
      <c r="E22" s="70">
        <f t="shared" si="6"/>
        <v>322886.25</v>
      </c>
      <c r="F22" s="70"/>
      <c r="G22" s="56"/>
      <c r="H22" s="56"/>
      <c r="I22" s="92"/>
      <c r="J22" s="56"/>
      <c r="K22" s="56"/>
      <c r="L22" s="56">
        <v>322886.25</v>
      </c>
      <c r="M22" s="70">
        <f t="shared" si="9"/>
        <v>0</v>
      </c>
      <c r="N22" s="70"/>
      <c r="O22" s="56"/>
      <c r="P22" s="56"/>
      <c r="Q22" s="56"/>
      <c r="R22" s="56"/>
      <c r="S22" s="56"/>
      <c r="T22" s="56"/>
      <c r="U22" s="70">
        <f t="shared" si="7"/>
        <v>322886.25</v>
      </c>
      <c r="V22" s="143">
        <f t="shared" si="8"/>
        <v>0</v>
      </c>
      <c r="W22" s="136">
        <f t="shared" si="10"/>
        <v>0</v>
      </c>
      <c r="X22" s="143">
        <f t="shared" si="5"/>
        <v>0</v>
      </c>
      <c r="Y22" s="143">
        <f t="shared" si="5"/>
        <v>0</v>
      </c>
      <c r="Z22" s="143">
        <f t="shared" si="5"/>
        <v>0</v>
      </c>
      <c r="AA22" s="143">
        <f t="shared" si="5"/>
        <v>0</v>
      </c>
      <c r="AB22" s="143">
        <f t="shared" si="5"/>
        <v>322886.25</v>
      </c>
      <c r="AC22" s="97"/>
      <c r="AD22" s="98"/>
      <c r="AE22" s="98"/>
    </row>
    <row r="23" spans="1:31" s="38" customFormat="1" ht="42.75" customHeight="1" x14ac:dyDescent="0.25">
      <c r="A23" s="116" t="s">
        <v>151</v>
      </c>
      <c r="B23" s="96" t="s">
        <v>56</v>
      </c>
      <c r="C23" s="97"/>
      <c r="D23" s="97">
        <v>152</v>
      </c>
      <c r="E23" s="70">
        <f t="shared" si="6"/>
        <v>156200</v>
      </c>
      <c r="F23" s="70"/>
      <c r="G23" s="56"/>
      <c r="H23" s="97"/>
      <c r="I23" s="135" t="s">
        <v>146</v>
      </c>
      <c r="J23" s="56"/>
      <c r="K23" s="56">
        <v>156200</v>
      </c>
      <c r="L23" s="56"/>
      <c r="M23" s="70">
        <f t="shared" si="9"/>
        <v>0</v>
      </c>
      <c r="N23" s="70"/>
      <c r="O23" s="56"/>
      <c r="P23" s="56"/>
      <c r="Q23" s="56"/>
      <c r="R23" s="56"/>
      <c r="S23" s="56"/>
      <c r="T23" s="56"/>
      <c r="U23" s="70">
        <f t="shared" si="7"/>
        <v>156200</v>
      </c>
      <c r="V23" s="143">
        <f t="shared" si="8"/>
        <v>0</v>
      </c>
      <c r="W23" s="136">
        <f t="shared" si="10"/>
        <v>0</v>
      </c>
      <c r="X23" s="143">
        <f t="shared" si="5"/>
        <v>0</v>
      </c>
      <c r="Y23" s="138">
        <f>I23+Q23</f>
        <v>963324044</v>
      </c>
      <c r="Z23" s="143">
        <f t="shared" si="5"/>
        <v>0</v>
      </c>
      <c r="AA23" s="143">
        <f t="shared" si="5"/>
        <v>156200</v>
      </c>
      <c r="AB23" s="143">
        <f t="shared" si="5"/>
        <v>0</v>
      </c>
      <c r="AC23" s="97"/>
      <c r="AD23" s="98"/>
      <c r="AE23" s="98"/>
    </row>
    <row r="24" spans="1:31" s="38" customFormat="1" ht="78" customHeight="1" x14ac:dyDescent="0.25">
      <c r="A24" s="116" t="s">
        <v>152</v>
      </c>
      <c r="B24" s="96" t="s">
        <v>56</v>
      </c>
      <c r="C24" s="97"/>
      <c r="D24" s="97">
        <v>152</v>
      </c>
      <c r="E24" s="70">
        <f t="shared" si="6"/>
        <v>4947430.5999999996</v>
      </c>
      <c r="F24" s="70"/>
      <c r="G24" s="56"/>
      <c r="H24" s="97"/>
      <c r="I24" s="135" t="s">
        <v>144</v>
      </c>
      <c r="J24" s="56"/>
      <c r="K24" s="56">
        <v>4947430.5999999996</v>
      </c>
      <c r="L24" s="56"/>
      <c r="M24" s="70">
        <f>+O24+P24+R24+S24+T24</f>
        <v>-4947430.5999999996</v>
      </c>
      <c r="N24" s="70"/>
      <c r="O24" s="56"/>
      <c r="P24" s="56"/>
      <c r="Q24" s="135" t="s">
        <v>144</v>
      </c>
      <c r="R24" s="56"/>
      <c r="S24" s="56">
        <v>-4947430.5999999996</v>
      </c>
      <c r="T24" s="56"/>
      <c r="U24" s="70">
        <f t="shared" si="7"/>
        <v>0</v>
      </c>
      <c r="V24" s="143">
        <f t="shared" si="8"/>
        <v>0</v>
      </c>
      <c r="W24" s="136">
        <f t="shared" si="10"/>
        <v>0</v>
      </c>
      <c r="X24" s="143">
        <f t="shared" si="5"/>
        <v>0</v>
      </c>
      <c r="Y24" s="138" t="s">
        <v>144</v>
      </c>
      <c r="Z24" s="143">
        <f t="shared" si="5"/>
        <v>0</v>
      </c>
      <c r="AA24" s="136">
        <f>K24+S24</f>
        <v>0</v>
      </c>
      <c r="AB24" s="143">
        <f t="shared" si="5"/>
        <v>0</v>
      </c>
      <c r="AC24" s="162" t="s">
        <v>174</v>
      </c>
      <c r="AD24" s="98"/>
      <c r="AE24" s="98"/>
    </row>
    <row r="25" spans="1:31" s="38" customFormat="1" ht="87.75" customHeight="1" x14ac:dyDescent="0.25">
      <c r="A25" s="116" t="s">
        <v>152</v>
      </c>
      <c r="B25" s="96" t="s">
        <v>58</v>
      </c>
      <c r="C25" s="97"/>
      <c r="D25" s="97">
        <v>152</v>
      </c>
      <c r="E25" s="70">
        <f t="shared" si="6"/>
        <v>8113680.4000000004</v>
      </c>
      <c r="F25" s="70"/>
      <c r="G25" s="56"/>
      <c r="H25" s="56"/>
      <c r="I25" s="135" t="s">
        <v>144</v>
      </c>
      <c r="J25" s="56"/>
      <c r="K25" s="56">
        <v>8113680.4000000004</v>
      </c>
      <c r="L25" s="56"/>
      <c r="M25" s="70">
        <f t="shared" si="9"/>
        <v>-8113680.4000000004</v>
      </c>
      <c r="N25" s="70"/>
      <c r="O25" s="56"/>
      <c r="P25" s="56"/>
      <c r="Q25" s="135" t="s">
        <v>144</v>
      </c>
      <c r="R25" s="56"/>
      <c r="S25" s="56">
        <v>-8113680.4000000004</v>
      </c>
      <c r="T25" s="56"/>
      <c r="U25" s="70">
        <f t="shared" si="7"/>
        <v>0</v>
      </c>
      <c r="V25" s="143">
        <f t="shared" si="8"/>
        <v>0</v>
      </c>
      <c r="W25" s="136">
        <f t="shared" si="10"/>
        <v>0</v>
      </c>
      <c r="X25" s="143">
        <f t="shared" si="5"/>
        <v>0</v>
      </c>
      <c r="Y25" s="138" t="s">
        <v>144</v>
      </c>
      <c r="Z25" s="143">
        <f t="shared" si="5"/>
        <v>0</v>
      </c>
      <c r="AA25" s="136">
        <f>K25+S25</f>
        <v>0</v>
      </c>
      <c r="AB25" s="143">
        <f t="shared" si="5"/>
        <v>0</v>
      </c>
      <c r="AC25" s="163"/>
      <c r="AD25" s="98"/>
      <c r="AE25" s="98"/>
    </row>
    <row r="26" spans="1:31" s="38" customFormat="1" ht="24" customHeight="1" x14ac:dyDescent="0.25">
      <c r="A26" s="116" t="s">
        <v>61</v>
      </c>
      <c r="B26" s="96" t="s">
        <v>63</v>
      </c>
      <c r="C26" s="97"/>
      <c r="D26" s="97">
        <v>152</v>
      </c>
      <c r="E26" s="70">
        <f t="shared" si="6"/>
        <v>69629.84</v>
      </c>
      <c r="F26" s="70"/>
      <c r="G26" s="56"/>
      <c r="H26" s="56"/>
      <c r="I26" s="135" t="s">
        <v>145</v>
      </c>
      <c r="J26" s="56"/>
      <c r="K26" s="56">
        <v>69629.84</v>
      </c>
      <c r="L26" s="56"/>
      <c r="M26" s="70">
        <f t="shared" si="9"/>
        <v>0</v>
      </c>
      <c r="N26" s="70"/>
      <c r="O26" s="56"/>
      <c r="P26" s="56"/>
      <c r="Q26" s="134"/>
      <c r="R26" s="56"/>
      <c r="S26" s="56"/>
      <c r="T26" s="56"/>
      <c r="U26" s="70">
        <f t="shared" si="7"/>
        <v>69629.84</v>
      </c>
      <c r="V26" s="143">
        <f t="shared" si="8"/>
        <v>0</v>
      </c>
      <c r="W26" s="136">
        <f t="shared" si="10"/>
        <v>0</v>
      </c>
      <c r="X26" s="143">
        <f t="shared" si="5"/>
        <v>0</v>
      </c>
      <c r="Y26" s="138">
        <f t="shared" ref="Y26" si="11">I26+Q26</f>
        <v>963324097</v>
      </c>
      <c r="Z26" s="143">
        <f t="shared" si="5"/>
        <v>0</v>
      </c>
      <c r="AA26" s="143">
        <f t="shared" si="5"/>
        <v>69629.84</v>
      </c>
      <c r="AB26" s="143">
        <f t="shared" si="5"/>
        <v>0</v>
      </c>
      <c r="AC26" s="116"/>
      <c r="AD26" s="98"/>
      <c r="AE26" s="98"/>
    </row>
    <row r="27" spans="1:31" s="38" customFormat="1" ht="111" customHeight="1" x14ac:dyDescent="0.25">
      <c r="A27" s="116" t="s">
        <v>179</v>
      </c>
      <c r="B27" s="96" t="s">
        <v>58</v>
      </c>
      <c r="C27" s="97"/>
      <c r="D27" s="97">
        <v>152</v>
      </c>
      <c r="E27" s="70">
        <f t="shared" si="6"/>
        <v>0</v>
      </c>
      <c r="F27" s="70"/>
      <c r="G27" s="56"/>
      <c r="H27" s="56"/>
      <c r="I27" s="135"/>
      <c r="J27" s="56"/>
      <c r="K27" s="56"/>
      <c r="L27" s="56"/>
      <c r="M27" s="70">
        <f t="shared" si="9"/>
        <v>48600.62</v>
      </c>
      <c r="N27" s="70"/>
      <c r="O27" s="56"/>
      <c r="P27" s="56"/>
      <c r="Q27" s="148">
        <v>963324048</v>
      </c>
      <c r="R27" s="56"/>
      <c r="S27" s="56">
        <v>48600.62</v>
      </c>
      <c r="T27" s="56"/>
      <c r="U27" s="70">
        <f t="shared" si="7"/>
        <v>48600.62</v>
      </c>
      <c r="V27" s="143">
        <f t="shared" ref="V27" si="12">F27+N27</f>
        <v>0</v>
      </c>
      <c r="W27" s="136">
        <f t="shared" ref="W27" si="13">G27+O27</f>
        <v>0</v>
      </c>
      <c r="X27" s="143">
        <f t="shared" ref="X27" si="14">H27+P27</f>
        <v>0</v>
      </c>
      <c r="Y27" s="138">
        <f t="shared" ref="Y27" si="15">I27+Q27</f>
        <v>963324048</v>
      </c>
      <c r="Z27" s="143">
        <f t="shared" ref="Z27" si="16">J27+R27</f>
        <v>0</v>
      </c>
      <c r="AA27" s="143">
        <f t="shared" ref="AA27" si="17">K27+S27</f>
        <v>48600.62</v>
      </c>
      <c r="AB27" s="143">
        <f t="shared" si="5"/>
        <v>0</v>
      </c>
      <c r="AC27" s="116" t="s">
        <v>173</v>
      </c>
      <c r="AD27" s="98"/>
      <c r="AE27" s="98"/>
    </row>
    <row r="28" spans="1:31" s="50" customFormat="1" ht="26.25" customHeight="1" x14ac:dyDescent="0.25">
      <c r="A28" s="119" t="s">
        <v>81</v>
      </c>
      <c r="B28" s="120"/>
      <c r="C28" s="118"/>
      <c r="D28" s="118">
        <v>152</v>
      </c>
      <c r="E28" s="70">
        <f>SUM(G28+H28+J28+K28+L28)+F28</f>
        <v>13286940.84</v>
      </c>
      <c r="F28" s="70"/>
      <c r="G28" s="70"/>
      <c r="H28" s="70"/>
      <c r="I28" s="70"/>
      <c r="J28" s="70"/>
      <c r="K28" s="70">
        <f>SUM(K23:K26)</f>
        <v>13286940.84</v>
      </c>
      <c r="L28" s="70"/>
      <c r="M28" s="70">
        <f t="shared" si="9"/>
        <v>-13012510.380000001</v>
      </c>
      <c r="N28" s="70"/>
      <c r="O28" s="56"/>
      <c r="P28" s="56"/>
      <c r="Q28" s="134"/>
      <c r="R28" s="56"/>
      <c r="S28" s="56">
        <f>SUM(S24:S27)</f>
        <v>-13012510.380000001</v>
      </c>
      <c r="T28" s="56"/>
      <c r="U28" s="70">
        <f t="shared" si="7"/>
        <v>274430.45999999903</v>
      </c>
      <c r="V28" s="143">
        <f t="shared" si="8"/>
        <v>0</v>
      </c>
      <c r="W28" s="143">
        <f t="shared" si="5"/>
        <v>0</v>
      </c>
      <c r="X28" s="143">
        <f t="shared" si="5"/>
        <v>0</v>
      </c>
      <c r="Y28" s="143">
        <f t="shared" si="5"/>
        <v>0</v>
      </c>
      <c r="Z28" s="143">
        <f t="shared" si="5"/>
        <v>0</v>
      </c>
      <c r="AA28" s="136">
        <f>K28+S28</f>
        <v>274430.45999999903</v>
      </c>
      <c r="AB28" s="143">
        <f t="shared" si="5"/>
        <v>0</v>
      </c>
      <c r="AC28" s="116"/>
      <c r="AD28" s="150"/>
      <c r="AE28" s="150"/>
    </row>
    <row r="29" spans="1:31" s="50" customFormat="1" ht="28.5" customHeight="1" x14ac:dyDescent="0.25">
      <c r="A29" s="118" t="s">
        <v>16</v>
      </c>
      <c r="B29" s="118"/>
      <c r="C29" s="118"/>
      <c r="D29" s="118"/>
      <c r="E29" s="70">
        <f>SUM(G29+H29+J29+K29+L29)+F29</f>
        <v>20977527.52</v>
      </c>
      <c r="F29" s="70">
        <f>SUM(F15:F23)</f>
        <v>0</v>
      </c>
      <c r="G29" s="70">
        <f>SUM(G15:G23)</f>
        <v>0</v>
      </c>
      <c r="H29" s="70">
        <f>SUM(H15:H28)</f>
        <v>6731750.4299999997</v>
      </c>
      <c r="I29" s="151"/>
      <c r="J29" s="70">
        <f>SUM(J14:J23)</f>
        <v>0</v>
      </c>
      <c r="K29" s="70">
        <f>K28</f>
        <v>13286940.84</v>
      </c>
      <c r="L29" s="70">
        <f>SUM(L20:L23)</f>
        <v>958836.25</v>
      </c>
      <c r="M29" s="70">
        <f>+O29+P29+R29+S29+T29+N29</f>
        <v>6487499.5199999977</v>
      </c>
      <c r="N29" s="70">
        <f>N18</f>
        <v>898348.09</v>
      </c>
      <c r="O29" s="70">
        <f>O17+O18+O19+O16</f>
        <v>18881661.799999997</v>
      </c>
      <c r="P29" s="70">
        <f>P17+P18+P19+P16</f>
        <v>0.01</v>
      </c>
      <c r="Q29" s="70"/>
      <c r="R29" s="70"/>
      <c r="S29" s="70">
        <f>S28</f>
        <v>-13012510.380000001</v>
      </c>
      <c r="T29" s="70">
        <f>T20</f>
        <v>-280000</v>
      </c>
      <c r="U29" s="70">
        <f>V29+W29+X29+AB29+Z29+AA29</f>
        <v>27465027.039999999</v>
      </c>
      <c r="V29" s="136">
        <f>F29+N29</f>
        <v>898348.09</v>
      </c>
      <c r="W29" s="143">
        <f t="shared" si="8"/>
        <v>18881661.799999997</v>
      </c>
      <c r="X29" s="133">
        <f>H29+P29</f>
        <v>6731750.4399999995</v>
      </c>
      <c r="Y29" s="143">
        <f t="shared" si="8"/>
        <v>0</v>
      </c>
      <c r="Z29" s="143">
        <f t="shared" si="8"/>
        <v>0</v>
      </c>
      <c r="AA29" s="136">
        <f>K29+S29</f>
        <v>274430.45999999903</v>
      </c>
      <c r="AB29" s="143">
        <f t="shared" ref="AB29:AB102" si="18">L29+T29</f>
        <v>678836.25</v>
      </c>
      <c r="AC29" s="118"/>
      <c r="AD29" s="150"/>
      <c r="AE29" s="150"/>
    </row>
    <row r="30" spans="1:31" s="38" customFormat="1" ht="102" x14ac:dyDescent="0.25">
      <c r="A30" s="97" t="s">
        <v>23</v>
      </c>
      <c r="B30" s="96" t="s">
        <v>56</v>
      </c>
      <c r="C30" s="97">
        <v>111</v>
      </c>
      <c r="D30" s="97">
        <v>211</v>
      </c>
      <c r="E30" s="70">
        <f t="shared" si="6"/>
        <v>1625872.82</v>
      </c>
      <c r="F30" s="56"/>
      <c r="G30" s="56"/>
      <c r="H30" s="56">
        <v>1505872.82</v>
      </c>
      <c r="I30" s="93">
        <v>963324044</v>
      </c>
      <c r="J30" s="56"/>
      <c r="K30" s="56">
        <v>120000</v>
      </c>
      <c r="L30" s="56"/>
      <c r="M30" s="70">
        <f>+O30+P30+R30+S30+T30</f>
        <v>4227327.78</v>
      </c>
      <c r="N30" s="70"/>
      <c r="O30" s="70">
        <f>4275161.28-47833.5</f>
        <v>4227327.78</v>
      </c>
      <c r="P30" s="70"/>
      <c r="Q30" s="70"/>
      <c r="R30" s="70">
        <f t="shared" ref="R30" si="19">SUM(R16:R29)+R12</f>
        <v>0</v>
      </c>
      <c r="S30" s="70"/>
      <c r="T30" s="70"/>
      <c r="U30" s="70">
        <f t="shared" si="7"/>
        <v>5853200.6000000006</v>
      </c>
      <c r="V30" s="146">
        <f t="shared" si="8"/>
        <v>0</v>
      </c>
      <c r="W30" s="146">
        <f t="shared" si="8"/>
        <v>4227327.78</v>
      </c>
      <c r="X30" s="146">
        <f t="shared" si="8"/>
        <v>1505872.82</v>
      </c>
      <c r="Y30" s="146">
        <f t="shared" si="8"/>
        <v>963324044</v>
      </c>
      <c r="Z30" s="146">
        <f t="shared" si="8"/>
        <v>0</v>
      </c>
      <c r="AA30" s="146">
        <f t="shared" si="8"/>
        <v>120000</v>
      </c>
      <c r="AB30" s="146">
        <f t="shared" si="18"/>
        <v>0</v>
      </c>
      <c r="AC30" s="119" t="s">
        <v>162</v>
      </c>
      <c r="AD30" s="98"/>
      <c r="AE30" s="98"/>
    </row>
    <row r="31" spans="1:31" s="38" customFormat="1" ht="140.25" x14ac:dyDescent="0.25">
      <c r="A31" s="97" t="s">
        <v>23</v>
      </c>
      <c r="B31" s="96" t="s">
        <v>58</v>
      </c>
      <c r="C31" s="97">
        <v>111</v>
      </c>
      <c r="D31" s="97">
        <v>211</v>
      </c>
      <c r="E31" s="70">
        <f t="shared" si="6"/>
        <v>355800</v>
      </c>
      <c r="F31" s="56"/>
      <c r="G31" s="56"/>
      <c r="H31" s="56">
        <v>355800</v>
      </c>
      <c r="I31" s="93"/>
      <c r="J31" s="56"/>
      <c r="K31" s="56"/>
      <c r="L31" s="56"/>
      <c r="M31" s="70">
        <f t="shared" ref="M31:M32" si="20">+O31+P31+R31+S31+T31+N31</f>
        <v>9776337.7200000007</v>
      </c>
      <c r="N31" s="56">
        <f>169280+338400</f>
        <v>507680</v>
      </c>
      <c r="O31" s="56">
        <v>9268657.7200000007</v>
      </c>
      <c r="P31" s="56"/>
      <c r="Q31" s="56"/>
      <c r="R31" s="56"/>
      <c r="S31" s="56"/>
      <c r="T31" s="56"/>
      <c r="U31" s="70">
        <f t="shared" si="7"/>
        <v>10132137.720000001</v>
      </c>
      <c r="V31" s="143">
        <f t="shared" si="8"/>
        <v>507680</v>
      </c>
      <c r="W31" s="143">
        <f t="shared" si="8"/>
        <v>9268657.7200000007</v>
      </c>
      <c r="X31" s="143">
        <f t="shared" si="8"/>
        <v>355800</v>
      </c>
      <c r="Y31" s="143">
        <f t="shared" si="8"/>
        <v>0</v>
      </c>
      <c r="Z31" s="143">
        <f t="shared" si="8"/>
        <v>0</v>
      </c>
      <c r="AA31" s="143">
        <f t="shared" si="8"/>
        <v>0</v>
      </c>
      <c r="AB31" s="143">
        <f t="shared" si="18"/>
        <v>0</v>
      </c>
      <c r="AC31" s="116" t="s">
        <v>163</v>
      </c>
      <c r="AD31" s="98"/>
      <c r="AE31" s="98"/>
    </row>
    <row r="32" spans="1:31" s="38" customFormat="1" ht="63.75" x14ac:dyDescent="0.25">
      <c r="A32" s="97" t="s">
        <v>180</v>
      </c>
      <c r="B32" s="96" t="s">
        <v>58</v>
      </c>
      <c r="C32" s="97">
        <v>111</v>
      </c>
      <c r="D32" s="97">
        <v>211</v>
      </c>
      <c r="E32" s="70">
        <f t="shared" si="6"/>
        <v>0</v>
      </c>
      <c r="F32" s="56"/>
      <c r="G32" s="56"/>
      <c r="H32" s="56"/>
      <c r="I32" s="93"/>
      <c r="J32" s="56"/>
      <c r="K32" s="56"/>
      <c r="L32" s="56"/>
      <c r="M32" s="70">
        <f t="shared" si="20"/>
        <v>272082.28000000003</v>
      </c>
      <c r="N32" s="56">
        <f>121530+60765</f>
        <v>182295</v>
      </c>
      <c r="O32" s="56">
        <v>89787.28</v>
      </c>
      <c r="P32" s="56"/>
      <c r="Q32" s="56"/>
      <c r="R32" s="56"/>
      <c r="S32" s="56"/>
      <c r="T32" s="56"/>
      <c r="U32" s="70">
        <f t="shared" si="7"/>
        <v>272082.28000000003</v>
      </c>
      <c r="V32" s="143">
        <f t="shared" si="8"/>
        <v>182295</v>
      </c>
      <c r="W32" s="143">
        <f t="shared" si="8"/>
        <v>89787.28</v>
      </c>
      <c r="X32" s="143">
        <f t="shared" si="8"/>
        <v>0</v>
      </c>
      <c r="Y32" s="143">
        <f t="shared" si="8"/>
        <v>0</v>
      </c>
      <c r="Z32" s="143">
        <f t="shared" si="8"/>
        <v>0</v>
      </c>
      <c r="AA32" s="143">
        <f t="shared" si="8"/>
        <v>0</v>
      </c>
      <c r="AB32" s="143">
        <f t="shared" si="18"/>
        <v>0</v>
      </c>
      <c r="AC32" s="116" t="s">
        <v>166</v>
      </c>
      <c r="AD32" s="98"/>
      <c r="AE32" s="98"/>
    </row>
    <row r="33" spans="1:31" s="38" customFormat="1" x14ac:dyDescent="0.25">
      <c r="A33" s="97" t="s">
        <v>23</v>
      </c>
      <c r="B33" s="96" t="s">
        <v>63</v>
      </c>
      <c r="C33" s="97">
        <v>111</v>
      </c>
      <c r="D33" s="97">
        <v>211</v>
      </c>
      <c r="E33" s="70">
        <f t="shared" si="6"/>
        <v>51513.04</v>
      </c>
      <c r="F33" s="56"/>
      <c r="G33" s="56"/>
      <c r="H33" s="56"/>
      <c r="I33" s="93">
        <v>963324097</v>
      </c>
      <c r="J33" s="56"/>
      <c r="K33" s="56">
        <v>51513.04</v>
      </c>
      <c r="L33" s="56"/>
      <c r="M33" s="70">
        <f t="shared" si="9"/>
        <v>0</v>
      </c>
      <c r="N33" s="56"/>
      <c r="O33" s="56"/>
      <c r="P33" s="56"/>
      <c r="Q33" s="56"/>
      <c r="R33" s="56"/>
      <c r="S33" s="56"/>
      <c r="T33" s="56"/>
      <c r="U33" s="70">
        <f t="shared" si="7"/>
        <v>51513.04</v>
      </c>
      <c r="V33" s="143">
        <f t="shared" si="8"/>
        <v>0</v>
      </c>
      <c r="W33" s="143">
        <f t="shared" si="8"/>
        <v>0</v>
      </c>
      <c r="X33" s="143">
        <f t="shared" si="8"/>
        <v>0</v>
      </c>
      <c r="Y33" s="143">
        <f t="shared" si="8"/>
        <v>963324097</v>
      </c>
      <c r="Z33" s="143">
        <f t="shared" si="8"/>
        <v>0</v>
      </c>
      <c r="AA33" s="143">
        <f t="shared" si="8"/>
        <v>51513.04</v>
      </c>
      <c r="AB33" s="143">
        <f t="shared" si="18"/>
        <v>0</v>
      </c>
      <c r="AC33" s="97"/>
      <c r="AD33" s="98"/>
      <c r="AE33" s="98"/>
    </row>
    <row r="34" spans="1:31" s="38" customFormat="1" ht="102" x14ac:dyDescent="0.25">
      <c r="A34" s="97" t="s">
        <v>23</v>
      </c>
      <c r="B34" s="96" t="s">
        <v>59</v>
      </c>
      <c r="C34" s="97">
        <v>111</v>
      </c>
      <c r="D34" s="97">
        <v>211</v>
      </c>
      <c r="E34" s="70">
        <f t="shared" si="6"/>
        <v>49961</v>
      </c>
      <c r="F34" s="56"/>
      <c r="G34" s="56"/>
      <c r="H34" s="56">
        <v>44370</v>
      </c>
      <c r="I34" s="93"/>
      <c r="J34" s="56"/>
      <c r="K34" s="97"/>
      <c r="L34" s="56">
        <v>5591</v>
      </c>
      <c r="M34" s="70">
        <f>+O34+P34+R34+S34+T34</f>
        <v>6058.4</v>
      </c>
      <c r="N34" s="70"/>
      <c r="O34" s="56">
        <v>6058.4</v>
      </c>
      <c r="P34" s="56"/>
      <c r="Q34" s="56"/>
      <c r="R34" s="56"/>
      <c r="S34" s="56"/>
      <c r="T34" s="56"/>
      <c r="U34" s="70">
        <f t="shared" si="7"/>
        <v>56019.4</v>
      </c>
      <c r="V34" s="143">
        <f t="shared" si="8"/>
        <v>0</v>
      </c>
      <c r="W34" s="143">
        <f t="shared" si="8"/>
        <v>6058.4</v>
      </c>
      <c r="X34" s="143">
        <f t="shared" si="8"/>
        <v>44370</v>
      </c>
      <c r="Y34" s="143">
        <f t="shared" si="8"/>
        <v>0</v>
      </c>
      <c r="Z34" s="143">
        <f t="shared" si="8"/>
        <v>0</v>
      </c>
      <c r="AA34" s="143">
        <f t="shared" si="8"/>
        <v>0</v>
      </c>
      <c r="AB34" s="143">
        <f t="shared" si="18"/>
        <v>5591</v>
      </c>
      <c r="AC34" s="116" t="s">
        <v>164</v>
      </c>
      <c r="AD34" s="98"/>
      <c r="AE34" s="98"/>
    </row>
    <row r="35" spans="1:31" s="38" customFormat="1" x14ac:dyDescent="0.25">
      <c r="A35" s="97" t="s">
        <v>82</v>
      </c>
      <c r="B35" s="96"/>
      <c r="C35" s="97"/>
      <c r="D35" s="97"/>
      <c r="E35" s="70">
        <f t="shared" si="6"/>
        <v>0</v>
      </c>
      <c r="F35" s="56"/>
      <c r="G35" s="56"/>
      <c r="H35" s="56"/>
      <c r="I35" s="93"/>
      <c r="J35" s="56"/>
      <c r="K35" s="56"/>
      <c r="L35" s="56"/>
      <c r="M35" s="70">
        <f t="shared" si="9"/>
        <v>0</v>
      </c>
      <c r="N35" s="70"/>
      <c r="O35" s="56"/>
      <c r="P35" s="56"/>
      <c r="Q35" s="56"/>
      <c r="R35" s="56"/>
      <c r="S35" s="56"/>
      <c r="T35" s="56"/>
      <c r="U35" s="70">
        <f t="shared" si="7"/>
        <v>0</v>
      </c>
      <c r="V35" s="143">
        <f t="shared" si="8"/>
        <v>0</v>
      </c>
      <c r="W35" s="143">
        <f t="shared" si="8"/>
        <v>0</v>
      </c>
      <c r="X35" s="143">
        <f t="shared" si="8"/>
        <v>0</v>
      </c>
      <c r="Y35" s="143">
        <f t="shared" si="8"/>
        <v>0</v>
      </c>
      <c r="Z35" s="143">
        <f t="shared" si="8"/>
        <v>0</v>
      </c>
      <c r="AA35" s="143">
        <f t="shared" si="8"/>
        <v>0</v>
      </c>
      <c r="AB35" s="136">
        <f>L35+T35</f>
        <v>0</v>
      </c>
      <c r="AC35" s="97"/>
      <c r="AD35" s="98"/>
      <c r="AE35" s="98"/>
    </row>
    <row r="36" spans="1:31" s="50" customFormat="1" x14ac:dyDescent="0.25">
      <c r="A36" s="118" t="s">
        <v>24</v>
      </c>
      <c r="B36" s="118"/>
      <c r="C36" s="118"/>
      <c r="D36" s="118"/>
      <c r="E36" s="70">
        <f t="shared" si="6"/>
        <v>2083146.86</v>
      </c>
      <c r="F36" s="70">
        <f>SUM(F30:F34)</f>
        <v>0</v>
      </c>
      <c r="G36" s="70">
        <f>SUM(G30:G34)</f>
        <v>0</v>
      </c>
      <c r="H36" s="70">
        <f>SUM(H30:H34)</f>
        <v>1906042.82</v>
      </c>
      <c r="I36" s="121"/>
      <c r="J36" s="70">
        <f>SUM(J30:J34)</f>
        <v>0</v>
      </c>
      <c r="K36" s="70">
        <f>SUM(K30:K35)</f>
        <v>171513.04</v>
      </c>
      <c r="L36" s="70">
        <f t="shared" ref="L36:T36" si="21">SUM(L30:L35)</f>
        <v>5591</v>
      </c>
      <c r="M36" s="70">
        <f t="shared" si="21"/>
        <v>14281806.18</v>
      </c>
      <c r="N36" s="70">
        <f t="shared" si="21"/>
        <v>689975</v>
      </c>
      <c r="O36" s="70">
        <f t="shared" si="21"/>
        <v>13591831.18</v>
      </c>
      <c r="P36" s="70">
        <f t="shared" si="21"/>
        <v>0</v>
      </c>
      <c r="Q36" s="70">
        <f t="shared" si="21"/>
        <v>0</v>
      </c>
      <c r="R36" s="70">
        <f t="shared" si="21"/>
        <v>0</v>
      </c>
      <c r="S36" s="70">
        <f t="shared" si="21"/>
        <v>0</v>
      </c>
      <c r="T36" s="70">
        <f t="shared" si="21"/>
        <v>0</v>
      </c>
      <c r="U36" s="70">
        <f>V36+W36+X36+AB36+Z36+AA36</f>
        <v>16364953.039999999</v>
      </c>
      <c r="V36" s="136">
        <f>F36+N36</f>
        <v>689975</v>
      </c>
      <c r="W36" s="143">
        <f t="shared" si="8"/>
        <v>13591831.18</v>
      </c>
      <c r="X36" s="143">
        <f t="shared" si="8"/>
        <v>1906042.82</v>
      </c>
      <c r="Y36" s="143">
        <f t="shared" si="8"/>
        <v>0</v>
      </c>
      <c r="Z36" s="143">
        <f t="shared" si="8"/>
        <v>0</v>
      </c>
      <c r="AA36" s="143">
        <f t="shared" si="8"/>
        <v>171513.04</v>
      </c>
      <c r="AB36" s="143">
        <f t="shared" si="18"/>
        <v>5591</v>
      </c>
      <c r="AC36" s="97"/>
      <c r="AD36" s="150"/>
      <c r="AE36" s="150"/>
    </row>
    <row r="37" spans="1:31" s="38" customFormat="1" ht="149.25" customHeight="1" x14ac:dyDescent="0.25">
      <c r="A37" s="116" t="s">
        <v>44</v>
      </c>
      <c r="B37" s="96" t="s">
        <v>56</v>
      </c>
      <c r="C37" s="97">
        <v>111</v>
      </c>
      <c r="D37" s="97">
        <v>266</v>
      </c>
      <c r="E37" s="70">
        <f t="shared" si="6"/>
        <v>0</v>
      </c>
      <c r="F37" s="70"/>
      <c r="G37" s="56"/>
      <c r="H37" s="56"/>
      <c r="I37" s="93"/>
      <c r="J37" s="70"/>
      <c r="K37" s="70"/>
      <c r="L37" s="70"/>
      <c r="M37" s="70">
        <f>+O37+P37+R37+S37+T37</f>
        <v>60000</v>
      </c>
      <c r="N37" s="70"/>
      <c r="O37" s="70">
        <v>60000</v>
      </c>
      <c r="P37" s="70"/>
      <c r="Q37" s="70">
        <f t="shared" ref="Q37:T37" si="22">SUM(Q31:Q36)</f>
        <v>0</v>
      </c>
      <c r="R37" s="70">
        <f t="shared" si="22"/>
        <v>0</v>
      </c>
      <c r="S37" s="70">
        <f t="shared" si="22"/>
        <v>0</v>
      </c>
      <c r="T37" s="70">
        <f t="shared" si="22"/>
        <v>0</v>
      </c>
      <c r="U37" s="70">
        <f t="shared" si="7"/>
        <v>60000</v>
      </c>
      <c r="V37" s="146">
        <f t="shared" si="8"/>
        <v>0</v>
      </c>
      <c r="W37" s="146">
        <f t="shared" si="8"/>
        <v>60000</v>
      </c>
      <c r="X37" s="146">
        <f t="shared" si="8"/>
        <v>0</v>
      </c>
      <c r="Y37" s="146">
        <f t="shared" si="8"/>
        <v>0</v>
      </c>
      <c r="Z37" s="146">
        <f t="shared" si="8"/>
        <v>0</v>
      </c>
      <c r="AA37" s="146">
        <f t="shared" si="8"/>
        <v>0</v>
      </c>
      <c r="AB37" s="146">
        <f t="shared" si="18"/>
        <v>0</v>
      </c>
      <c r="AC37" s="119" t="s">
        <v>162</v>
      </c>
      <c r="AD37" s="98"/>
      <c r="AE37" s="98"/>
    </row>
    <row r="38" spans="1:31" s="38" customFormat="1" ht="142.5" customHeight="1" x14ac:dyDescent="0.25">
      <c r="A38" s="116" t="s">
        <v>44</v>
      </c>
      <c r="B38" s="96" t="s">
        <v>58</v>
      </c>
      <c r="C38" s="97">
        <v>111</v>
      </c>
      <c r="D38" s="97">
        <v>266</v>
      </c>
      <c r="E38" s="70">
        <f t="shared" si="6"/>
        <v>0</v>
      </c>
      <c r="F38" s="56"/>
      <c r="G38" s="56"/>
      <c r="H38" s="97">
        <v>0</v>
      </c>
      <c r="I38" s="93"/>
      <c r="J38" s="56"/>
      <c r="K38" s="56"/>
      <c r="L38" s="56"/>
      <c r="M38" s="70">
        <f>+O38+P38+R38+S38+T38+N38</f>
        <v>60000</v>
      </c>
      <c r="N38" s="56"/>
      <c r="O38" s="56">
        <v>60000</v>
      </c>
      <c r="P38" s="56"/>
      <c r="Q38" s="56"/>
      <c r="R38" s="56"/>
      <c r="S38" s="56"/>
      <c r="T38" s="56"/>
      <c r="U38" s="70">
        <f t="shared" si="7"/>
        <v>60000</v>
      </c>
      <c r="V38" s="143">
        <f t="shared" si="8"/>
        <v>0</v>
      </c>
      <c r="W38" s="143">
        <f t="shared" si="8"/>
        <v>60000</v>
      </c>
      <c r="X38" s="143">
        <f t="shared" si="8"/>
        <v>0</v>
      </c>
      <c r="Y38" s="143">
        <f t="shared" si="8"/>
        <v>0</v>
      </c>
      <c r="Z38" s="143">
        <f t="shared" si="8"/>
        <v>0</v>
      </c>
      <c r="AA38" s="143">
        <f t="shared" si="8"/>
        <v>0</v>
      </c>
      <c r="AB38" s="143">
        <f t="shared" si="18"/>
        <v>0</v>
      </c>
      <c r="AC38" s="116" t="s">
        <v>160</v>
      </c>
      <c r="AD38" s="98"/>
      <c r="AE38" s="98"/>
    </row>
    <row r="39" spans="1:31" s="50" customFormat="1" x14ac:dyDescent="0.25">
      <c r="A39" s="118" t="s">
        <v>43</v>
      </c>
      <c r="B39" s="118"/>
      <c r="C39" s="118"/>
      <c r="D39" s="118"/>
      <c r="E39" s="70">
        <f t="shared" si="6"/>
        <v>0</v>
      </c>
      <c r="F39" s="70">
        <f t="shared" ref="F39" si="23">SUM(F37:F38)</f>
        <v>0</v>
      </c>
      <c r="G39" s="70">
        <f>SUM(G37:G38)</f>
        <v>0</v>
      </c>
      <c r="H39" s="70">
        <f>SUM(H37:H38)</f>
        <v>0</v>
      </c>
      <c r="I39" s="121"/>
      <c r="J39" s="70"/>
      <c r="K39" s="70">
        <f>K38</f>
        <v>0</v>
      </c>
      <c r="L39" s="70">
        <f>L38+L37</f>
        <v>0</v>
      </c>
      <c r="M39" s="70">
        <f t="shared" ref="M39:T39" si="24">M38+M37</f>
        <v>120000</v>
      </c>
      <c r="N39" s="70">
        <f t="shared" si="24"/>
        <v>0</v>
      </c>
      <c r="O39" s="70">
        <f t="shared" si="24"/>
        <v>120000</v>
      </c>
      <c r="P39" s="70">
        <f t="shared" si="24"/>
        <v>0</v>
      </c>
      <c r="Q39" s="70">
        <f t="shared" si="24"/>
        <v>0</v>
      </c>
      <c r="R39" s="70">
        <f t="shared" si="24"/>
        <v>0</v>
      </c>
      <c r="S39" s="70">
        <f t="shared" si="24"/>
        <v>0</v>
      </c>
      <c r="T39" s="70">
        <f t="shared" si="24"/>
        <v>0</v>
      </c>
      <c r="U39" s="70">
        <f t="shared" si="7"/>
        <v>120000</v>
      </c>
      <c r="V39" s="143">
        <f t="shared" si="8"/>
        <v>0</v>
      </c>
      <c r="W39" s="143">
        <f t="shared" si="8"/>
        <v>120000</v>
      </c>
      <c r="X39" s="143">
        <f t="shared" si="8"/>
        <v>0</v>
      </c>
      <c r="Y39" s="143">
        <f t="shared" si="8"/>
        <v>0</v>
      </c>
      <c r="Z39" s="143">
        <f t="shared" si="8"/>
        <v>0</v>
      </c>
      <c r="AA39" s="143">
        <f t="shared" si="8"/>
        <v>0</v>
      </c>
      <c r="AB39" s="143">
        <f t="shared" si="18"/>
        <v>0</v>
      </c>
      <c r="AC39" s="116"/>
      <c r="AD39" s="150"/>
      <c r="AE39" s="150"/>
    </row>
    <row r="40" spans="1:31" s="38" customFormat="1" x14ac:dyDescent="0.25">
      <c r="A40" s="116" t="s">
        <v>46</v>
      </c>
      <c r="B40" s="96"/>
      <c r="C40" s="97">
        <v>112</v>
      </c>
      <c r="D40" s="97">
        <v>212</v>
      </c>
      <c r="E40" s="70">
        <f t="shared" si="6"/>
        <v>0</v>
      </c>
      <c r="F40" s="56"/>
      <c r="G40" s="56"/>
      <c r="H40" s="56"/>
      <c r="I40" s="93"/>
      <c r="J40" s="56"/>
      <c r="K40" s="56"/>
      <c r="L40" s="56"/>
      <c r="M40" s="70">
        <f t="shared" si="9"/>
        <v>0</v>
      </c>
      <c r="N40" s="70"/>
      <c r="O40" s="70"/>
      <c r="P40" s="70">
        <f t="shared" ref="P40:T40" si="25">SUM(P38:P39)</f>
        <v>0</v>
      </c>
      <c r="Q40" s="70">
        <f t="shared" si="25"/>
        <v>0</v>
      </c>
      <c r="R40" s="70">
        <f t="shared" si="25"/>
        <v>0</v>
      </c>
      <c r="S40" s="70">
        <f t="shared" si="25"/>
        <v>0</v>
      </c>
      <c r="T40" s="70">
        <f t="shared" si="25"/>
        <v>0</v>
      </c>
      <c r="U40" s="70">
        <f>V40+W40+X40+AB40+Z40+AA40</f>
        <v>0</v>
      </c>
      <c r="V40" s="146">
        <f t="shared" si="8"/>
        <v>0</v>
      </c>
      <c r="W40" s="146">
        <f t="shared" si="8"/>
        <v>0</v>
      </c>
      <c r="X40" s="146">
        <f t="shared" si="8"/>
        <v>0</v>
      </c>
      <c r="Y40" s="146">
        <f t="shared" si="8"/>
        <v>0</v>
      </c>
      <c r="Z40" s="146">
        <f t="shared" si="8"/>
        <v>0</v>
      </c>
      <c r="AA40" s="146">
        <f t="shared" si="8"/>
        <v>0</v>
      </c>
      <c r="AB40" s="146">
        <f t="shared" si="18"/>
        <v>0</v>
      </c>
      <c r="AC40" s="118"/>
      <c r="AD40" s="98"/>
      <c r="AE40" s="98"/>
    </row>
    <row r="41" spans="1:31" s="50" customFormat="1" x14ac:dyDescent="0.25">
      <c r="A41" s="119" t="s">
        <v>45</v>
      </c>
      <c r="B41" s="120"/>
      <c r="C41" s="118"/>
      <c r="D41" s="118"/>
      <c r="E41" s="70">
        <f t="shared" si="6"/>
        <v>0</v>
      </c>
      <c r="F41" s="70"/>
      <c r="G41" s="70"/>
      <c r="H41" s="70">
        <f>H40</f>
        <v>0</v>
      </c>
      <c r="I41" s="121"/>
      <c r="J41" s="70"/>
      <c r="K41" s="70">
        <f>K40</f>
        <v>0</v>
      </c>
      <c r="L41" s="70">
        <f>L40</f>
        <v>0</v>
      </c>
      <c r="M41" s="70">
        <f t="shared" si="9"/>
        <v>0</v>
      </c>
      <c r="N41" s="70"/>
      <c r="O41" s="56"/>
      <c r="P41" s="56"/>
      <c r="Q41" s="56"/>
      <c r="R41" s="56"/>
      <c r="S41" s="56"/>
      <c r="T41" s="56"/>
      <c r="U41" s="70">
        <f t="shared" si="7"/>
        <v>0</v>
      </c>
      <c r="V41" s="143">
        <f t="shared" si="8"/>
        <v>0</v>
      </c>
      <c r="W41" s="143">
        <f t="shared" si="8"/>
        <v>0</v>
      </c>
      <c r="X41" s="143">
        <f t="shared" si="8"/>
        <v>0</v>
      </c>
      <c r="Y41" s="143">
        <f t="shared" si="8"/>
        <v>0</v>
      </c>
      <c r="Z41" s="143">
        <f t="shared" si="8"/>
        <v>0</v>
      </c>
      <c r="AA41" s="143">
        <f t="shared" si="8"/>
        <v>0</v>
      </c>
      <c r="AB41" s="143">
        <f t="shared" si="18"/>
        <v>0</v>
      </c>
      <c r="AC41" s="97"/>
      <c r="AD41" s="150"/>
      <c r="AE41" s="150"/>
    </row>
    <row r="42" spans="1:31" s="38" customFormat="1" ht="102" x14ac:dyDescent="0.25">
      <c r="A42" s="116" t="s">
        <v>85</v>
      </c>
      <c r="B42" s="96" t="s">
        <v>59</v>
      </c>
      <c r="C42" s="97">
        <v>112</v>
      </c>
      <c r="D42" s="97">
        <v>222</v>
      </c>
      <c r="E42" s="70">
        <f t="shared" si="6"/>
        <v>2041.73</v>
      </c>
      <c r="F42" s="56"/>
      <c r="G42" s="56"/>
      <c r="H42" s="56">
        <v>1813.28</v>
      </c>
      <c r="I42" s="93"/>
      <c r="J42" s="56"/>
      <c r="K42" s="56"/>
      <c r="L42" s="56">
        <v>228.45</v>
      </c>
      <c r="M42" s="70">
        <f>+O42+P42+R42+S42+T42</f>
        <v>247.27</v>
      </c>
      <c r="N42" s="70"/>
      <c r="O42" s="56">
        <v>247.27</v>
      </c>
      <c r="P42" s="70"/>
      <c r="Q42" s="70"/>
      <c r="R42" s="70"/>
      <c r="S42" s="70"/>
      <c r="T42" s="70"/>
      <c r="U42" s="70">
        <f t="shared" si="7"/>
        <v>2289</v>
      </c>
      <c r="V42" s="146">
        <f t="shared" si="8"/>
        <v>0</v>
      </c>
      <c r="W42" s="146">
        <f t="shared" si="8"/>
        <v>247.27</v>
      </c>
      <c r="X42" s="146">
        <f t="shared" si="8"/>
        <v>1813.28</v>
      </c>
      <c r="Y42" s="146">
        <f t="shared" si="8"/>
        <v>0</v>
      </c>
      <c r="Z42" s="146">
        <f t="shared" si="8"/>
        <v>0</v>
      </c>
      <c r="AA42" s="146">
        <f t="shared" si="8"/>
        <v>0</v>
      </c>
      <c r="AB42" s="146">
        <f t="shared" si="18"/>
        <v>228.45</v>
      </c>
      <c r="AC42" s="116" t="s">
        <v>164</v>
      </c>
      <c r="AD42" s="98"/>
      <c r="AE42" s="98"/>
    </row>
    <row r="43" spans="1:31" s="50" customFormat="1" x14ac:dyDescent="0.25">
      <c r="A43" s="119" t="s">
        <v>86</v>
      </c>
      <c r="B43" s="120"/>
      <c r="C43" s="118"/>
      <c r="D43" s="118"/>
      <c r="E43" s="70">
        <f t="shared" si="6"/>
        <v>2041.73</v>
      </c>
      <c r="F43" s="70"/>
      <c r="G43" s="70">
        <f>G42</f>
        <v>0</v>
      </c>
      <c r="H43" s="70">
        <f>H42</f>
        <v>1813.28</v>
      </c>
      <c r="I43" s="121"/>
      <c r="J43" s="70"/>
      <c r="K43" s="70">
        <f>K42</f>
        <v>0</v>
      </c>
      <c r="L43" s="70">
        <f>L42</f>
        <v>228.45</v>
      </c>
      <c r="M43" s="70">
        <f t="shared" ref="M43:T43" si="26">M42</f>
        <v>247.27</v>
      </c>
      <c r="N43" s="70">
        <f t="shared" si="26"/>
        <v>0</v>
      </c>
      <c r="O43" s="70">
        <f t="shared" si="26"/>
        <v>247.27</v>
      </c>
      <c r="P43" s="70">
        <f t="shared" si="26"/>
        <v>0</v>
      </c>
      <c r="Q43" s="70">
        <f t="shared" si="26"/>
        <v>0</v>
      </c>
      <c r="R43" s="70">
        <f t="shared" si="26"/>
        <v>0</v>
      </c>
      <c r="S43" s="70">
        <f t="shared" si="26"/>
        <v>0</v>
      </c>
      <c r="T43" s="70">
        <f t="shared" si="26"/>
        <v>0</v>
      </c>
      <c r="U43" s="70">
        <f t="shared" si="7"/>
        <v>2289</v>
      </c>
      <c r="V43" s="143">
        <f t="shared" si="8"/>
        <v>0</v>
      </c>
      <c r="W43" s="143">
        <f t="shared" si="8"/>
        <v>247.27</v>
      </c>
      <c r="X43" s="143">
        <f t="shared" si="8"/>
        <v>1813.28</v>
      </c>
      <c r="Y43" s="143">
        <f t="shared" si="8"/>
        <v>0</v>
      </c>
      <c r="Z43" s="143">
        <f t="shared" si="8"/>
        <v>0</v>
      </c>
      <c r="AA43" s="143">
        <f t="shared" si="8"/>
        <v>0</v>
      </c>
      <c r="AB43" s="136">
        <f>L43+T43</f>
        <v>228.45</v>
      </c>
      <c r="AC43" s="97"/>
      <c r="AD43" s="150"/>
      <c r="AE43" s="150"/>
    </row>
    <row r="44" spans="1:31" s="38" customFormat="1" ht="102" x14ac:dyDescent="0.25">
      <c r="A44" s="116" t="s">
        <v>25</v>
      </c>
      <c r="B44" s="96" t="s">
        <v>56</v>
      </c>
      <c r="C44" s="97">
        <v>119</v>
      </c>
      <c r="D44" s="97">
        <v>213</v>
      </c>
      <c r="E44" s="70">
        <f t="shared" si="6"/>
        <v>490973.59164</v>
      </c>
      <c r="F44" s="56"/>
      <c r="G44" s="56"/>
      <c r="H44" s="56">
        <f>H30*30.2%</f>
        <v>454773.59164</v>
      </c>
      <c r="I44" s="93">
        <v>963324044</v>
      </c>
      <c r="J44" s="56"/>
      <c r="K44" s="56">
        <v>36200</v>
      </c>
      <c r="L44" s="56"/>
      <c r="M44" s="70">
        <f>+O44+P44+R44+S44+T44</f>
        <v>1276653</v>
      </c>
      <c r="N44" s="70"/>
      <c r="O44" s="70">
        <f>1291098.72-14445.72</f>
        <v>1276653</v>
      </c>
      <c r="P44" s="70">
        <f>SUM(P41:P43)</f>
        <v>0</v>
      </c>
      <c r="Q44" s="70">
        <f t="shared" ref="Q44:T44" si="27">SUM(Q41:Q43)</f>
        <v>0</v>
      </c>
      <c r="R44" s="70">
        <f t="shared" si="27"/>
        <v>0</v>
      </c>
      <c r="S44" s="70">
        <f t="shared" si="27"/>
        <v>0</v>
      </c>
      <c r="T44" s="70">
        <f t="shared" si="27"/>
        <v>0</v>
      </c>
      <c r="U44" s="70">
        <f t="shared" si="7"/>
        <v>1767626.59164</v>
      </c>
      <c r="V44" s="146">
        <f t="shared" si="8"/>
        <v>0</v>
      </c>
      <c r="W44" s="146">
        <f t="shared" si="8"/>
        <v>1276653</v>
      </c>
      <c r="X44" s="130">
        <f t="shared" si="8"/>
        <v>454773.59164</v>
      </c>
      <c r="Y44" s="146">
        <f t="shared" si="8"/>
        <v>963324044</v>
      </c>
      <c r="Z44" s="146">
        <f t="shared" si="8"/>
        <v>0</v>
      </c>
      <c r="AA44" s="146">
        <f t="shared" si="8"/>
        <v>36200</v>
      </c>
      <c r="AB44" s="146">
        <f t="shared" si="18"/>
        <v>0</v>
      </c>
      <c r="AC44" s="119" t="s">
        <v>162</v>
      </c>
      <c r="AD44" s="98"/>
      <c r="AE44" s="98"/>
    </row>
    <row r="45" spans="1:31" s="38" customFormat="1" ht="140.25" x14ac:dyDescent="0.25">
      <c r="A45" s="116" t="s">
        <v>25</v>
      </c>
      <c r="B45" s="96" t="s">
        <v>58</v>
      </c>
      <c r="C45" s="97">
        <v>119</v>
      </c>
      <c r="D45" s="97">
        <v>213</v>
      </c>
      <c r="E45" s="70">
        <f t="shared" si="6"/>
        <v>107450</v>
      </c>
      <c r="F45" s="56"/>
      <c r="G45" s="56"/>
      <c r="H45" s="56">
        <v>107450</v>
      </c>
      <c r="I45" s="93"/>
      <c r="J45" s="56"/>
      <c r="K45" s="56">
        <f>K31*30.2%</f>
        <v>0</v>
      </c>
      <c r="L45" s="56"/>
      <c r="M45" s="70">
        <f t="shared" ref="M45:M46" si="28">+O45+P45+R45+S45+T45+N45</f>
        <v>2952454.6314400001</v>
      </c>
      <c r="N45" s="56">
        <f>661000-N31</f>
        <v>153320</v>
      </c>
      <c r="O45" s="56">
        <f>O31*30.2%</f>
        <v>2799134.6314400001</v>
      </c>
      <c r="P45" s="56"/>
      <c r="Q45" s="56"/>
      <c r="R45" s="56"/>
      <c r="S45" s="56"/>
      <c r="T45" s="56"/>
      <c r="U45" s="70">
        <f t="shared" si="7"/>
        <v>3059904.6314400001</v>
      </c>
      <c r="V45" s="143">
        <f t="shared" si="8"/>
        <v>153320</v>
      </c>
      <c r="W45" s="143">
        <f t="shared" si="8"/>
        <v>2799134.6314400001</v>
      </c>
      <c r="X45" s="143">
        <f t="shared" si="8"/>
        <v>107450</v>
      </c>
      <c r="Y45" s="143">
        <f t="shared" si="8"/>
        <v>0</v>
      </c>
      <c r="Z45" s="143">
        <f t="shared" si="8"/>
        <v>0</v>
      </c>
      <c r="AA45" s="143">
        <f t="shared" si="8"/>
        <v>0</v>
      </c>
      <c r="AB45" s="143">
        <f t="shared" si="18"/>
        <v>0</v>
      </c>
      <c r="AC45" s="116" t="s">
        <v>163</v>
      </c>
      <c r="AD45" s="98"/>
      <c r="AE45" s="98"/>
    </row>
    <row r="46" spans="1:31" s="38" customFormat="1" ht="63.75" x14ac:dyDescent="0.25">
      <c r="A46" s="116" t="s">
        <v>181</v>
      </c>
      <c r="B46" s="96" t="s">
        <v>58</v>
      </c>
      <c r="C46" s="97">
        <v>119</v>
      </c>
      <c r="D46" s="97">
        <v>213</v>
      </c>
      <c r="E46" s="70">
        <f t="shared" si="6"/>
        <v>0</v>
      </c>
      <c r="F46" s="56"/>
      <c r="G46" s="56"/>
      <c r="H46" s="56"/>
      <c r="I46" s="93"/>
      <c r="J46" s="56"/>
      <c r="K46" s="56"/>
      <c r="L46" s="56"/>
      <c r="M46" s="70">
        <f t="shared" si="28"/>
        <v>82168.849999999991</v>
      </c>
      <c r="N46" s="56">
        <f>237348.09-N32</f>
        <v>55053.09</v>
      </c>
      <c r="O46" s="56">
        <f>116903.04-O32</f>
        <v>27115.759999999995</v>
      </c>
      <c r="P46" s="56"/>
      <c r="Q46" s="56"/>
      <c r="R46" s="56"/>
      <c r="S46" s="56"/>
      <c r="T46" s="56"/>
      <c r="U46" s="70">
        <f t="shared" si="7"/>
        <v>82168.849999999991</v>
      </c>
      <c r="V46" s="143">
        <f t="shared" si="8"/>
        <v>55053.09</v>
      </c>
      <c r="W46" s="143">
        <f t="shared" si="8"/>
        <v>27115.759999999995</v>
      </c>
      <c r="X46" s="143">
        <f t="shared" si="8"/>
        <v>0</v>
      </c>
      <c r="Y46" s="143">
        <f t="shared" si="8"/>
        <v>0</v>
      </c>
      <c r="Z46" s="143">
        <f t="shared" si="8"/>
        <v>0</v>
      </c>
      <c r="AA46" s="143">
        <f t="shared" si="8"/>
        <v>0</v>
      </c>
      <c r="AB46" s="143">
        <f t="shared" si="18"/>
        <v>0</v>
      </c>
      <c r="AC46" s="116" t="s">
        <v>166</v>
      </c>
      <c r="AD46" s="98"/>
      <c r="AE46" s="98"/>
    </row>
    <row r="47" spans="1:31" s="38" customFormat="1" ht="102" x14ac:dyDescent="0.25">
      <c r="A47" s="116" t="s">
        <v>25</v>
      </c>
      <c r="B47" s="96" t="s">
        <v>59</v>
      </c>
      <c r="C47" s="97">
        <v>119</v>
      </c>
      <c r="D47" s="97">
        <v>213</v>
      </c>
      <c r="E47" s="70">
        <f t="shared" si="6"/>
        <v>15088.15</v>
      </c>
      <c r="F47" s="56"/>
      <c r="G47" s="56"/>
      <c r="H47" s="56">
        <f>H34*30.2%</f>
        <v>13399.74</v>
      </c>
      <c r="I47" s="93"/>
      <c r="J47" s="56"/>
      <c r="K47" s="97"/>
      <c r="L47" s="56">
        <f>7279.41-L34</f>
        <v>1688.4099999999999</v>
      </c>
      <c r="M47" s="70">
        <f>+O47+P47+R47+S47+T47</f>
        <v>1829.65</v>
      </c>
      <c r="N47" s="56"/>
      <c r="O47" s="56">
        <v>1829.65</v>
      </c>
      <c r="P47" s="56"/>
      <c r="Q47" s="56"/>
      <c r="R47" s="56"/>
      <c r="S47" s="56"/>
      <c r="T47" s="56"/>
      <c r="U47" s="70">
        <f t="shared" si="7"/>
        <v>16917.8</v>
      </c>
      <c r="V47" s="143">
        <f t="shared" si="8"/>
        <v>0</v>
      </c>
      <c r="W47" s="143">
        <f t="shared" si="8"/>
        <v>1829.65</v>
      </c>
      <c r="X47" s="143">
        <f t="shared" si="8"/>
        <v>13399.74</v>
      </c>
      <c r="Y47" s="143">
        <f t="shared" si="8"/>
        <v>0</v>
      </c>
      <c r="Z47" s="143">
        <f t="shared" si="8"/>
        <v>0</v>
      </c>
      <c r="AA47" s="143">
        <f t="shared" si="8"/>
        <v>0</v>
      </c>
      <c r="AB47" s="143">
        <f t="shared" si="18"/>
        <v>1688.4099999999999</v>
      </c>
      <c r="AC47" s="116" t="s">
        <v>164</v>
      </c>
      <c r="AD47" s="98"/>
      <c r="AE47" s="98"/>
    </row>
    <row r="48" spans="1:31" s="38" customFormat="1" ht="38.25" x14ac:dyDescent="0.25">
      <c r="A48" s="116" t="s">
        <v>25</v>
      </c>
      <c r="B48" s="96" t="s">
        <v>63</v>
      </c>
      <c r="C48" s="97">
        <v>119</v>
      </c>
      <c r="D48" s="97">
        <v>213</v>
      </c>
      <c r="E48" s="70">
        <f t="shared" si="6"/>
        <v>15556.8</v>
      </c>
      <c r="F48" s="56"/>
      <c r="G48" s="56"/>
      <c r="H48" s="56"/>
      <c r="I48" s="93">
        <v>963324097</v>
      </c>
      <c r="J48" s="56"/>
      <c r="K48" s="56">
        <v>15556.8</v>
      </c>
      <c r="L48" s="56"/>
      <c r="M48" s="70">
        <f t="shared" si="9"/>
        <v>0</v>
      </c>
      <c r="N48" s="70"/>
      <c r="O48" s="56"/>
      <c r="P48" s="56"/>
      <c r="Q48" s="56"/>
      <c r="R48" s="56"/>
      <c r="S48" s="56"/>
      <c r="T48" s="56"/>
      <c r="U48" s="70">
        <f t="shared" si="7"/>
        <v>15556.8</v>
      </c>
      <c r="V48" s="143">
        <f t="shared" si="8"/>
        <v>0</v>
      </c>
      <c r="W48" s="143">
        <f t="shared" si="8"/>
        <v>0</v>
      </c>
      <c r="X48" s="143">
        <f t="shared" si="8"/>
        <v>0</v>
      </c>
      <c r="Y48" s="143">
        <f t="shared" si="8"/>
        <v>963324097</v>
      </c>
      <c r="Z48" s="143">
        <f t="shared" si="8"/>
        <v>0</v>
      </c>
      <c r="AA48" s="143">
        <f t="shared" si="8"/>
        <v>15556.8</v>
      </c>
      <c r="AB48" s="136">
        <f>L48+T48</f>
        <v>0</v>
      </c>
      <c r="AC48" s="97"/>
      <c r="AD48" s="98"/>
      <c r="AE48" s="98"/>
    </row>
    <row r="49" spans="1:31" s="50" customFormat="1" x14ac:dyDescent="0.25">
      <c r="A49" s="119" t="s">
        <v>26</v>
      </c>
      <c r="B49" s="120"/>
      <c r="C49" s="118"/>
      <c r="D49" s="118"/>
      <c r="E49" s="70">
        <f t="shared" si="6"/>
        <v>629068.54164000007</v>
      </c>
      <c r="F49" s="70">
        <f>SUM(F44:F47)</f>
        <v>0</v>
      </c>
      <c r="G49" s="70">
        <f>SUM(G44:G47)</f>
        <v>0</v>
      </c>
      <c r="H49" s="70">
        <f>SUM(H44:H48)</f>
        <v>575623.33163999999</v>
      </c>
      <c r="I49" s="121"/>
      <c r="J49" s="70">
        <f>SUM(J44:J47)</f>
        <v>0</v>
      </c>
      <c r="K49" s="70">
        <f>SUM(K44:K48)</f>
        <v>51756.800000000003</v>
      </c>
      <c r="L49" s="70">
        <f>SUM(L44:L48)</f>
        <v>1688.4099999999999</v>
      </c>
      <c r="M49" s="70">
        <f t="shared" ref="M49:T49" si="29">SUM(M44:M48)</f>
        <v>4313106.1314400006</v>
      </c>
      <c r="N49" s="70">
        <f t="shared" si="29"/>
        <v>208373.09</v>
      </c>
      <c r="O49" s="70">
        <f t="shared" si="29"/>
        <v>4104733.0414399998</v>
      </c>
      <c r="P49" s="70">
        <f t="shared" si="29"/>
        <v>0</v>
      </c>
      <c r="Q49" s="70">
        <f t="shared" si="29"/>
        <v>0</v>
      </c>
      <c r="R49" s="70">
        <f t="shared" si="29"/>
        <v>0</v>
      </c>
      <c r="S49" s="70">
        <f t="shared" si="29"/>
        <v>0</v>
      </c>
      <c r="T49" s="70">
        <f t="shared" si="29"/>
        <v>0</v>
      </c>
      <c r="U49" s="70">
        <f>V49+W49+X49+AB49+Z49+AA49</f>
        <v>4942174.6730800001</v>
      </c>
      <c r="V49" s="136">
        <f>F49+N49</f>
        <v>208373.09</v>
      </c>
      <c r="W49" s="136">
        <f t="shared" si="8"/>
        <v>4104733.0414399998</v>
      </c>
      <c r="X49" s="136">
        <f t="shared" ref="X49:Z49" si="30">H49+P49</f>
        <v>575623.33163999999</v>
      </c>
      <c r="Y49" s="136">
        <f t="shared" si="30"/>
        <v>0</v>
      </c>
      <c r="Z49" s="136">
        <f t="shared" si="30"/>
        <v>0</v>
      </c>
      <c r="AA49" s="136">
        <f>K49+S49</f>
        <v>51756.800000000003</v>
      </c>
      <c r="AB49" s="143">
        <f t="shared" si="18"/>
        <v>1688.4099999999999</v>
      </c>
      <c r="AC49" s="97"/>
      <c r="AD49" s="150"/>
      <c r="AE49" s="150"/>
    </row>
    <row r="50" spans="1:31" s="38" customFormat="1" ht="25.5" x14ac:dyDescent="0.25">
      <c r="A50" s="116" t="s">
        <v>48</v>
      </c>
      <c r="B50" s="96" t="s">
        <v>56</v>
      </c>
      <c r="C50" s="97">
        <v>244</v>
      </c>
      <c r="D50" s="97">
        <v>221</v>
      </c>
      <c r="E50" s="70">
        <f t="shared" si="6"/>
        <v>27600</v>
      </c>
      <c r="F50" s="56"/>
      <c r="G50" s="56"/>
      <c r="H50" s="56">
        <v>27600</v>
      </c>
      <c r="I50" s="93"/>
      <c r="J50" s="70"/>
      <c r="K50" s="70"/>
      <c r="L50" s="70"/>
      <c r="M50" s="70">
        <f t="shared" si="9"/>
        <v>0</v>
      </c>
      <c r="N50" s="70"/>
      <c r="O50" s="70"/>
      <c r="P50" s="70">
        <f t="shared" ref="P50:T50" si="31">SUM(P45:P49)</f>
        <v>0</v>
      </c>
      <c r="Q50" s="70">
        <f t="shared" si="31"/>
        <v>0</v>
      </c>
      <c r="R50" s="70">
        <f t="shared" si="31"/>
        <v>0</v>
      </c>
      <c r="S50" s="70">
        <f t="shared" si="31"/>
        <v>0</v>
      </c>
      <c r="T50" s="70">
        <f t="shared" si="31"/>
        <v>0</v>
      </c>
      <c r="U50" s="70">
        <f t="shared" si="7"/>
        <v>27600</v>
      </c>
      <c r="V50" s="146">
        <f t="shared" si="8"/>
        <v>0</v>
      </c>
      <c r="W50" s="146">
        <f t="shared" si="8"/>
        <v>0</v>
      </c>
      <c r="X50" s="146">
        <f t="shared" si="8"/>
        <v>27600</v>
      </c>
      <c r="Y50" s="146">
        <f t="shared" si="8"/>
        <v>0</v>
      </c>
      <c r="Z50" s="146">
        <f t="shared" si="8"/>
        <v>0</v>
      </c>
      <c r="AA50" s="146">
        <f t="shared" si="8"/>
        <v>0</v>
      </c>
      <c r="AB50" s="146">
        <f t="shared" si="18"/>
        <v>0</v>
      </c>
      <c r="AC50" s="118"/>
      <c r="AD50" s="98"/>
      <c r="AE50" s="98"/>
    </row>
    <row r="51" spans="1:31" s="38" customFormat="1" ht="42" customHeight="1" x14ac:dyDescent="0.25">
      <c r="A51" s="116" t="s">
        <v>141</v>
      </c>
      <c r="B51" s="96" t="s">
        <v>58</v>
      </c>
      <c r="C51" s="97">
        <v>244</v>
      </c>
      <c r="D51" s="97">
        <v>221</v>
      </c>
      <c r="E51" s="70">
        <f t="shared" si="6"/>
        <v>22701.119999999999</v>
      </c>
      <c r="F51" s="56"/>
      <c r="G51" s="56"/>
      <c r="H51" s="56">
        <v>22701.119999999999</v>
      </c>
      <c r="I51" s="93"/>
      <c r="J51" s="70"/>
      <c r="K51" s="70"/>
      <c r="L51" s="70"/>
      <c r="M51" s="70">
        <f t="shared" si="9"/>
        <v>0</v>
      </c>
      <c r="N51" s="70"/>
      <c r="O51" s="56"/>
      <c r="P51" s="56"/>
      <c r="Q51" s="56"/>
      <c r="R51" s="56"/>
      <c r="S51" s="56"/>
      <c r="T51" s="56"/>
      <c r="U51" s="70">
        <f t="shared" si="7"/>
        <v>22701.119999999999</v>
      </c>
      <c r="V51" s="143">
        <f t="shared" si="8"/>
        <v>0</v>
      </c>
      <c r="W51" s="143">
        <f t="shared" si="8"/>
        <v>0</v>
      </c>
      <c r="X51" s="143">
        <f t="shared" si="8"/>
        <v>22701.119999999999</v>
      </c>
      <c r="Y51" s="143"/>
      <c r="Z51" s="143">
        <f t="shared" si="8"/>
        <v>0</v>
      </c>
      <c r="AA51" s="143">
        <f t="shared" si="8"/>
        <v>0</v>
      </c>
      <c r="AB51" s="143">
        <f t="shared" si="18"/>
        <v>0</v>
      </c>
      <c r="AC51" s="116"/>
      <c r="AD51" s="98"/>
      <c r="AE51" s="98"/>
    </row>
    <row r="52" spans="1:31" s="38" customFormat="1" ht="54" customHeight="1" x14ac:dyDescent="0.25">
      <c r="A52" s="116" t="s">
        <v>158</v>
      </c>
      <c r="B52" s="96" t="s">
        <v>58</v>
      </c>
      <c r="C52" s="97">
        <v>244</v>
      </c>
      <c r="D52" s="97">
        <v>221</v>
      </c>
      <c r="E52" s="70">
        <f t="shared" si="6"/>
        <v>0</v>
      </c>
      <c r="F52" s="56"/>
      <c r="G52" s="56"/>
      <c r="H52" s="56"/>
      <c r="I52" s="93"/>
      <c r="J52" s="70"/>
      <c r="K52" s="70"/>
      <c r="L52" s="70"/>
      <c r="M52" s="70">
        <f t="shared" si="9"/>
        <v>6600</v>
      </c>
      <c r="N52" s="70"/>
      <c r="O52" s="56"/>
      <c r="P52" s="56">
        <v>6600</v>
      </c>
      <c r="Q52" s="56"/>
      <c r="R52" s="56"/>
      <c r="S52" s="56"/>
      <c r="T52" s="56"/>
      <c r="U52" s="70">
        <f t="shared" si="7"/>
        <v>6600</v>
      </c>
      <c r="V52" s="143">
        <f t="shared" si="8"/>
        <v>0</v>
      </c>
      <c r="W52" s="143">
        <f t="shared" si="8"/>
        <v>0</v>
      </c>
      <c r="X52" s="143">
        <f t="shared" si="8"/>
        <v>6600</v>
      </c>
      <c r="Y52" s="143"/>
      <c r="Z52" s="143">
        <f t="shared" si="8"/>
        <v>0</v>
      </c>
      <c r="AA52" s="143">
        <f t="shared" si="8"/>
        <v>0</v>
      </c>
      <c r="AB52" s="143">
        <f t="shared" si="18"/>
        <v>0</v>
      </c>
      <c r="AC52" s="116" t="s">
        <v>159</v>
      </c>
      <c r="AD52" s="98"/>
      <c r="AE52" s="98"/>
    </row>
    <row r="53" spans="1:31" s="38" customFormat="1" ht="51" x14ac:dyDescent="0.25">
      <c r="A53" s="116" t="s">
        <v>116</v>
      </c>
      <c r="B53" s="96" t="s">
        <v>56</v>
      </c>
      <c r="C53" s="97">
        <v>244</v>
      </c>
      <c r="D53" s="97">
        <v>221</v>
      </c>
      <c r="E53" s="70">
        <f t="shared" si="6"/>
        <v>13200</v>
      </c>
      <c r="F53" s="56"/>
      <c r="G53" s="56"/>
      <c r="H53" s="56">
        <f>13200</f>
        <v>13200</v>
      </c>
      <c r="I53" s="93"/>
      <c r="J53" s="70"/>
      <c r="K53" s="70"/>
      <c r="L53" s="70"/>
      <c r="M53" s="70">
        <f>+O53+P53+R53+S53+T53</f>
        <v>-6600</v>
      </c>
      <c r="N53" s="70"/>
      <c r="O53" s="56"/>
      <c r="P53" s="56">
        <v>-6600</v>
      </c>
      <c r="Q53" s="56"/>
      <c r="R53" s="56"/>
      <c r="S53" s="56"/>
      <c r="T53" s="56"/>
      <c r="U53" s="70">
        <f t="shared" si="7"/>
        <v>6600</v>
      </c>
      <c r="V53" s="143">
        <f t="shared" si="8"/>
        <v>0</v>
      </c>
      <c r="W53" s="143">
        <f t="shared" si="8"/>
        <v>0</v>
      </c>
      <c r="X53" s="143">
        <f t="shared" si="8"/>
        <v>6600</v>
      </c>
      <c r="Y53" s="143"/>
      <c r="Z53" s="143">
        <f t="shared" si="8"/>
        <v>0</v>
      </c>
      <c r="AA53" s="143">
        <f t="shared" si="8"/>
        <v>0</v>
      </c>
      <c r="AB53" s="143">
        <f t="shared" si="18"/>
        <v>0</v>
      </c>
      <c r="AC53" s="116" t="s">
        <v>159</v>
      </c>
      <c r="AD53" s="98"/>
      <c r="AE53" s="98"/>
    </row>
    <row r="54" spans="1:31" s="38" customFormat="1" ht="25.5" x14ac:dyDescent="0.25">
      <c r="A54" s="116" t="s">
        <v>132</v>
      </c>
      <c r="B54" s="96" t="s">
        <v>58</v>
      </c>
      <c r="C54" s="97">
        <v>244</v>
      </c>
      <c r="D54" s="97">
        <v>221</v>
      </c>
      <c r="E54" s="70">
        <f t="shared" si="6"/>
        <v>6000</v>
      </c>
      <c r="F54" s="56"/>
      <c r="G54" s="56"/>
      <c r="H54" s="56">
        <v>6000</v>
      </c>
      <c r="I54" s="93"/>
      <c r="J54" s="70"/>
      <c r="K54" s="70"/>
      <c r="L54" s="70"/>
      <c r="M54" s="70">
        <f t="shared" si="9"/>
        <v>0</v>
      </c>
      <c r="N54" s="70"/>
      <c r="O54" s="56"/>
      <c r="P54" s="56"/>
      <c r="Q54" s="56"/>
      <c r="R54" s="56"/>
      <c r="S54" s="56"/>
      <c r="T54" s="56"/>
      <c r="U54" s="70">
        <f t="shared" si="7"/>
        <v>6000</v>
      </c>
      <c r="V54" s="143">
        <f t="shared" si="8"/>
        <v>0</v>
      </c>
      <c r="W54" s="143">
        <f t="shared" si="8"/>
        <v>0</v>
      </c>
      <c r="X54" s="143">
        <f t="shared" si="8"/>
        <v>6000</v>
      </c>
      <c r="Y54" s="143"/>
      <c r="Z54" s="143">
        <f t="shared" si="8"/>
        <v>0</v>
      </c>
      <c r="AA54" s="143">
        <f t="shared" si="8"/>
        <v>0</v>
      </c>
      <c r="AB54" s="143">
        <f t="shared" si="18"/>
        <v>0</v>
      </c>
      <c r="AC54" s="116"/>
      <c r="AD54" s="98"/>
      <c r="AE54" s="98"/>
    </row>
    <row r="55" spans="1:31" s="50" customFormat="1" x14ac:dyDescent="0.25">
      <c r="A55" s="119" t="s">
        <v>27</v>
      </c>
      <c r="B55" s="120"/>
      <c r="C55" s="118"/>
      <c r="D55" s="118"/>
      <c r="E55" s="70">
        <f t="shared" si="6"/>
        <v>69501.119999999995</v>
      </c>
      <c r="F55" s="70">
        <f>SUM(F50:F54)</f>
        <v>0</v>
      </c>
      <c r="G55" s="70">
        <f t="shared" ref="G55" si="32">SUM(G50:G54)</f>
        <v>0</v>
      </c>
      <c r="H55" s="70">
        <f>SUM(H50:H54)</f>
        <v>69501.119999999995</v>
      </c>
      <c r="I55" s="121"/>
      <c r="J55" s="70">
        <f t="shared" ref="J55:L55" si="33">SUM(J50:J54)</f>
        <v>0</v>
      </c>
      <c r="K55" s="70">
        <f t="shared" si="33"/>
        <v>0</v>
      </c>
      <c r="L55" s="70">
        <f t="shared" si="33"/>
        <v>0</v>
      </c>
      <c r="M55" s="70">
        <f t="shared" si="9"/>
        <v>0</v>
      </c>
      <c r="N55" s="70"/>
      <c r="O55" s="56"/>
      <c r="P55" s="56"/>
      <c r="Q55" s="56"/>
      <c r="R55" s="56"/>
      <c r="S55" s="56"/>
      <c r="T55" s="56"/>
      <c r="U55" s="70">
        <f t="shared" si="7"/>
        <v>69501.119999999995</v>
      </c>
      <c r="V55" s="143">
        <f t="shared" si="8"/>
        <v>0</v>
      </c>
      <c r="W55" s="143">
        <f t="shared" si="8"/>
        <v>0</v>
      </c>
      <c r="X55" s="143">
        <f t="shared" si="8"/>
        <v>69501.119999999995</v>
      </c>
      <c r="Y55" s="143"/>
      <c r="Z55" s="143">
        <f t="shared" si="8"/>
        <v>0</v>
      </c>
      <c r="AA55" s="143">
        <f t="shared" si="8"/>
        <v>0</v>
      </c>
      <c r="AB55" s="143">
        <f t="shared" si="18"/>
        <v>0</v>
      </c>
      <c r="AC55" s="116"/>
      <c r="AD55" s="150"/>
      <c r="AE55" s="150"/>
    </row>
    <row r="56" spans="1:31" s="38" customFormat="1" x14ac:dyDescent="0.25">
      <c r="A56" s="116" t="s">
        <v>28</v>
      </c>
      <c r="B56" s="96" t="s">
        <v>56</v>
      </c>
      <c r="C56" s="97">
        <v>244</v>
      </c>
      <c r="D56" s="97">
        <v>223</v>
      </c>
      <c r="E56" s="70">
        <f t="shared" si="6"/>
        <v>23556.45</v>
      </c>
      <c r="F56" s="56"/>
      <c r="G56" s="56"/>
      <c r="H56" s="56">
        <f>14457.67+9098.78</f>
        <v>23556.45</v>
      </c>
      <c r="I56" s="93"/>
      <c r="J56" s="70"/>
      <c r="K56" s="70"/>
      <c r="L56" s="56"/>
      <c r="M56" s="70">
        <f t="shared" si="9"/>
        <v>0</v>
      </c>
      <c r="N56" s="70">
        <f t="shared" ref="N56:S56" si="34">SUM(N51:N55)</f>
        <v>0</v>
      </c>
      <c r="O56" s="70">
        <f>SUM(O51:O55)</f>
        <v>0</v>
      </c>
      <c r="P56" s="70">
        <f t="shared" si="34"/>
        <v>0</v>
      </c>
      <c r="Q56" s="70">
        <f t="shared" si="34"/>
        <v>0</v>
      </c>
      <c r="R56" s="70">
        <f t="shared" si="34"/>
        <v>0</v>
      </c>
      <c r="S56" s="70">
        <f t="shared" si="34"/>
        <v>0</v>
      </c>
      <c r="T56" s="70"/>
      <c r="U56" s="70">
        <f>V56+W56+X56+AB56+Z56+AA56</f>
        <v>23556.45</v>
      </c>
      <c r="V56" s="146">
        <f t="shared" si="8"/>
        <v>0</v>
      </c>
      <c r="W56" s="146">
        <f t="shared" si="8"/>
        <v>0</v>
      </c>
      <c r="X56" s="146">
        <f t="shared" si="8"/>
        <v>23556.45</v>
      </c>
      <c r="Y56" s="146"/>
      <c r="Z56" s="146">
        <f t="shared" si="8"/>
        <v>0</v>
      </c>
      <c r="AA56" s="146">
        <f t="shared" si="8"/>
        <v>0</v>
      </c>
      <c r="AB56" s="146">
        <f t="shared" si="18"/>
        <v>0</v>
      </c>
      <c r="AC56" s="119"/>
      <c r="AD56" s="98"/>
      <c r="AE56" s="98"/>
    </row>
    <row r="57" spans="1:31" s="38" customFormat="1" x14ac:dyDescent="0.25">
      <c r="A57" s="116" t="s">
        <v>169</v>
      </c>
      <c r="B57" s="96" t="s">
        <v>58</v>
      </c>
      <c r="C57" s="97">
        <v>244</v>
      </c>
      <c r="D57" s="97">
        <v>223</v>
      </c>
      <c r="E57" s="70">
        <f t="shared" si="6"/>
        <v>0</v>
      </c>
      <c r="F57" s="56"/>
      <c r="G57" s="56"/>
      <c r="H57" s="56"/>
      <c r="I57" s="93"/>
      <c r="J57" s="70"/>
      <c r="K57" s="70"/>
      <c r="L57" s="56"/>
      <c r="M57" s="70">
        <f>+O57+P57+R57+S57+T57</f>
        <v>0</v>
      </c>
      <c r="N57" s="70"/>
      <c r="O57" s="70"/>
      <c r="P57" s="70"/>
      <c r="Q57" s="70"/>
      <c r="R57" s="70"/>
      <c r="S57" s="70"/>
      <c r="T57" s="70"/>
      <c r="U57" s="70">
        <f t="shared" ref="U57:U66" si="35">V57+W57+X57+AB57+Z57+AA57</f>
        <v>0</v>
      </c>
      <c r="V57" s="143">
        <f t="shared" ref="V57" si="36">F57+N57</f>
        <v>0</v>
      </c>
      <c r="W57" s="143">
        <f t="shared" ref="W57" si="37">G57+O57</f>
        <v>0</v>
      </c>
      <c r="X57" s="143">
        <f t="shared" ref="X57" si="38">H57+P57</f>
        <v>0</v>
      </c>
      <c r="Y57" s="143"/>
      <c r="Z57" s="143">
        <f t="shared" ref="Z57" si="39">J57+R57</f>
        <v>0</v>
      </c>
      <c r="AA57" s="143">
        <f t="shared" ref="AA57" si="40">K57+S57</f>
        <v>0</v>
      </c>
      <c r="AB57" s="136">
        <f t="shared" si="18"/>
        <v>0</v>
      </c>
      <c r="AC57" s="119"/>
      <c r="AD57" s="98"/>
      <c r="AE57" s="98"/>
    </row>
    <row r="58" spans="1:31" s="38" customFormat="1" ht="25.5" x14ac:dyDescent="0.25">
      <c r="A58" s="116" t="s">
        <v>184</v>
      </c>
      <c r="B58" s="96" t="s">
        <v>58</v>
      </c>
      <c r="C58" s="97">
        <v>244</v>
      </c>
      <c r="D58" s="97">
        <v>223</v>
      </c>
      <c r="E58" s="70">
        <f t="shared" si="6"/>
        <v>0</v>
      </c>
      <c r="F58" s="56"/>
      <c r="G58" s="56"/>
      <c r="H58" s="56"/>
      <c r="I58" s="93"/>
      <c r="J58" s="70"/>
      <c r="K58" s="70"/>
      <c r="L58" s="56"/>
      <c r="M58" s="70">
        <f>+O58+P58+R58+S58+T58</f>
        <v>0</v>
      </c>
      <c r="N58" s="70"/>
      <c r="O58" s="70"/>
      <c r="P58" s="70"/>
      <c r="Q58" s="70"/>
      <c r="R58" s="70"/>
      <c r="S58" s="70"/>
      <c r="T58" s="70"/>
      <c r="U58" s="70">
        <f t="shared" ref="U58" si="41">V58+W58+X58+AB58+Z58+AA58</f>
        <v>0</v>
      </c>
      <c r="V58" s="143">
        <f t="shared" ref="V58" si="42">F58+N58</f>
        <v>0</v>
      </c>
      <c r="W58" s="143">
        <f t="shared" ref="W58" si="43">G58+O58</f>
        <v>0</v>
      </c>
      <c r="X58" s="143">
        <f t="shared" ref="X58" si="44">H58+P58</f>
        <v>0</v>
      </c>
      <c r="Y58" s="143"/>
      <c r="Z58" s="143">
        <f t="shared" ref="Z58" si="45">J58+R58</f>
        <v>0</v>
      </c>
      <c r="AA58" s="143">
        <f t="shared" ref="AA58" si="46">K58+S58</f>
        <v>0</v>
      </c>
      <c r="AB58" s="136">
        <f t="shared" si="18"/>
        <v>0</v>
      </c>
      <c r="AC58" s="119"/>
      <c r="AD58" s="98"/>
      <c r="AE58" s="98"/>
    </row>
    <row r="59" spans="1:31" s="38" customFormat="1" ht="45" customHeight="1" x14ac:dyDescent="0.25">
      <c r="A59" s="116" t="s">
        <v>28</v>
      </c>
      <c r="B59" s="96" t="s">
        <v>58</v>
      </c>
      <c r="C59" s="97">
        <v>244</v>
      </c>
      <c r="D59" s="97">
        <v>223</v>
      </c>
      <c r="E59" s="70">
        <f t="shared" si="6"/>
        <v>31399.97</v>
      </c>
      <c r="F59" s="56"/>
      <c r="G59" s="56"/>
      <c r="H59" s="56">
        <f>5098.87+4939.77</f>
        <v>10038.64</v>
      </c>
      <c r="I59" s="93"/>
      <c r="J59" s="70"/>
      <c r="K59" s="70"/>
      <c r="L59" s="56">
        <v>21361.33</v>
      </c>
      <c r="M59" s="70">
        <f>+O59+P59+R59+S59+T59</f>
        <v>0</v>
      </c>
      <c r="N59" s="70"/>
      <c r="O59" s="56"/>
      <c r="P59" s="56"/>
      <c r="Q59" s="56"/>
      <c r="R59" s="56"/>
      <c r="S59" s="56"/>
      <c r="T59" s="56"/>
      <c r="U59" s="70">
        <f t="shared" si="35"/>
        <v>31399.97</v>
      </c>
      <c r="V59" s="143">
        <f t="shared" si="8"/>
        <v>0</v>
      </c>
      <c r="W59" s="143">
        <f t="shared" si="8"/>
        <v>0</v>
      </c>
      <c r="X59" s="143">
        <f t="shared" si="8"/>
        <v>10038.64</v>
      </c>
      <c r="Y59" s="143"/>
      <c r="Z59" s="143">
        <f t="shared" si="8"/>
        <v>0</v>
      </c>
      <c r="AA59" s="143">
        <f t="shared" si="8"/>
        <v>0</v>
      </c>
      <c r="AB59" s="136">
        <f t="shared" si="18"/>
        <v>21361.33</v>
      </c>
      <c r="AC59" s="116" t="s">
        <v>175</v>
      </c>
      <c r="AD59" s="98"/>
      <c r="AE59" s="98"/>
    </row>
    <row r="60" spans="1:31" s="38" customFormat="1" x14ac:dyDescent="0.25">
      <c r="A60" s="116" t="s">
        <v>49</v>
      </c>
      <c r="B60" s="96" t="s">
        <v>56</v>
      </c>
      <c r="C60" s="97">
        <v>244</v>
      </c>
      <c r="D60" s="97">
        <v>223</v>
      </c>
      <c r="E60" s="70">
        <f t="shared" si="6"/>
        <v>43764.17</v>
      </c>
      <c r="F60" s="56"/>
      <c r="G60" s="56"/>
      <c r="H60" s="56">
        <f>16168.07+27596.1</f>
        <v>43764.17</v>
      </c>
      <c r="I60" s="93"/>
      <c r="J60" s="70"/>
      <c r="K60" s="70"/>
      <c r="L60" s="56"/>
      <c r="M60" s="70">
        <f t="shared" si="9"/>
        <v>0</v>
      </c>
      <c r="N60" s="70"/>
      <c r="O60" s="56"/>
      <c r="P60" s="56"/>
      <c r="Q60" s="56"/>
      <c r="R60" s="56"/>
      <c r="S60" s="56"/>
      <c r="T60" s="56"/>
      <c r="U60" s="70">
        <f t="shared" si="35"/>
        <v>43764.17</v>
      </c>
      <c r="V60" s="143">
        <f t="shared" si="8"/>
        <v>0</v>
      </c>
      <c r="W60" s="143">
        <f t="shared" si="8"/>
        <v>0</v>
      </c>
      <c r="X60" s="143">
        <f t="shared" si="8"/>
        <v>43764.17</v>
      </c>
      <c r="Y60" s="143"/>
      <c r="Z60" s="143">
        <f t="shared" si="8"/>
        <v>0</v>
      </c>
      <c r="AA60" s="143">
        <f t="shared" si="8"/>
        <v>0</v>
      </c>
      <c r="AB60" s="143">
        <f t="shared" si="18"/>
        <v>0</v>
      </c>
      <c r="AC60" s="116"/>
      <c r="AD60" s="98"/>
      <c r="AE60" s="98"/>
    </row>
    <row r="61" spans="1:31" s="38" customFormat="1" ht="25.5" x14ac:dyDescent="0.25">
      <c r="A61" s="116" t="s">
        <v>185</v>
      </c>
      <c r="B61" s="96" t="s">
        <v>58</v>
      </c>
      <c r="C61" s="97">
        <v>244</v>
      </c>
      <c r="D61" s="97">
        <v>223</v>
      </c>
      <c r="E61" s="70"/>
      <c r="F61" s="56"/>
      <c r="G61" s="56"/>
      <c r="H61" s="56"/>
      <c r="I61" s="93"/>
      <c r="J61" s="70"/>
      <c r="K61" s="70"/>
      <c r="L61" s="56"/>
      <c r="M61" s="70"/>
      <c r="N61" s="70"/>
      <c r="O61" s="56"/>
      <c r="P61" s="56"/>
      <c r="Q61" s="56"/>
      <c r="R61" s="56"/>
      <c r="S61" s="56"/>
      <c r="T61" s="56"/>
      <c r="U61" s="70">
        <f t="shared" ref="U61" si="47">V61+W61+X61+AB61+Z61+AA61</f>
        <v>0</v>
      </c>
      <c r="V61" s="143">
        <f t="shared" ref="V61" si="48">F61+N61</f>
        <v>0</v>
      </c>
      <c r="W61" s="143">
        <f t="shared" ref="W61" si="49">G61+O61</f>
        <v>0</v>
      </c>
      <c r="X61" s="143">
        <f t="shared" ref="X61" si="50">H61+P61</f>
        <v>0</v>
      </c>
      <c r="Y61" s="143"/>
      <c r="Z61" s="143">
        <f t="shared" ref="Z61" si="51">J61+R61</f>
        <v>0</v>
      </c>
      <c r="AA61" s="143">
        <f t="shared" ref="AA61" si="52">K61+S61</f>
        <v>0</v>
      </c>
      <c r="AB61" s="136">
        <f>L61+T61</f>
        <v>0</v>
      </c>
      <c r="AC61" s="116"/>
      <c r="AD61" s="98"/>
      <c r="AE61" s="98"/>
    </row>
    <row r="62" spans="1:31" s="38" customFormat="1" x14ac:dyDescent="0.25">
      <c r="A62" s="116" t="s">
        <v>49</v>
      </c>
      <c r="B62" s="96" t="s">
        <v>58</v>
      </c>
      <c r="C62" s="97">
        <v>244</v>
      </c>
      <c r="D62" s="97">
        <v>223</v>
      </c>
      <c r="E62" s="70">
        <f t="shared" si="6"/>
        <v>20872.080000000002</v>
      </c>
      <c r="F62" s="56"/>
      <c r="G62" s="56"/>
      <c r="H62" s="56">
        <f>12359.36+8512.72</f>
        <v>20872.080000000002</v>
      </c>
      <c r="I62" s="93"/>
      <c r="J62" s="70"/>
      <c r="K62" s="70"/>
      <c r="L62" s="56"/>
      <c r="M62" s="70">
        <f>+O62+P62+R62+S62+T62</f>
        <v>0</v>
      </c>
      <c r="N62" s="70"/>
      <c r="O62" s="56"/>
      <c r="P62" s="56"/>
      <c r="Q62" s="56"/>
      <c r="R62" s="56"/>
      <c r="S62" s="56"/>
      <c r="T62" s="56"/>
      <c r="U62" s="70">
        <f t="shared" si="35"/>
        <v>20872.080000000002</v>
      </c>
      <c r="V62" s="143">
        <f t="shared" si="8"/>
        <v>0</v>
      </c>
      <c r="W62" s="143">
        <f t="shared" si="8"/>
        <v>0</v>
      </c>
      <c r="X62" s="143">
        <f t="shared" si="8"/>
        <v>20872.080000000002</v>
      </c>
      <c r="Y62" s="143"/>
      <c r="Z62" s="143">
        <f t="shared" si="8"/>
        <v>0</v>
      </c>
      <c r="AA62" s="143">
        <f t="shared" si="8"/>
        <v>0</v>
      </c>
      <c r="AB62" s="143">
        <f t="shared" si="18"/>
        <v>0</v>
      </c>
      <c r="AC62" s="116"/>
      <c r="AD62" s="98"/>
      <c r="AE62" s="98"/>
    </row>
    <row r="63" spans="1:31" s="38" customFormat="1" x14ac:dyDescent="0.25">
      <c r="A63" s="116" t="s">
        <v>29</v>
      </c>
      <c r="B63" s="96" t="s">
        <v>56</v>
      </c>
      <c r="C63" s="97">
        <v>244</v>
      </c>
      <c r="D63" s="97">
        <v>223</v>
      </c>
      <c r="E63" s="70">
        <f t="shared" si="6"/>
        <v>21882.080000000002</v>
      </c>
      <c r="F63" s="56"/>
      <c r="G63" s="56"/>
      <c r="H63" s="56">
        <v>21882.080000000002</v>
      </c>
      <c r="I63" s="93"/>
      <c r="J63" s="70"/>
      <c r="K63" s="70"/>
      <c r="L63" s="56"/>
      <c r="M63" s="70">
        <f t="shared" si="9"/>
        <v>0</v>
      </c>
      <c r="N63" s="70"/>
      <c r="O63" s="56"/>
      <c r="P63" s="56"/>
      <c r="Q63" s="56"/>
      <c r="R63" s="56"/>
      <c r="S63" s="56"/>
      <c r="T63" s="56"/>
      <c r="U63" s="70">
        <f t="shared" si="35"/>
        <v>21882.080000000002</v>
      </c>
      <c r="V63" s="143">
        <f t="shared" ref="V63" si="53">F63+N63</f>
        <v>0</v>
      </c>
      <c r="W63" s="143">
        <f t="shared" ref="W63" si="54">G63+O63</f>
        <v>0</v>
      </c>
      <c r="X63" s="143">
        <f t="shared" ref="X63" si="55">H63+P63</f>
        <v>21882.080000000002</v>
      </c>
      <c r="Y63" s="143"/>
      <c r="Z63" s="143">
        <f t="shared" ref="Z63" si="56">J63+R63</f>
        <v>0</v>
      </c>
      <c r="AA63" s="143">
        <f t="shared" ref="AA63" si="57">K63+S63</f>
        <v>0</v>
      </c>
      <c r="AB63" s="143">
        <f t="shared" ref="AB63" si="58">L63+T63</f>
        <v>0</v>
      </c>
      <c r="AC63" s="116"/>
      <c r="AD63" s="98"/>
      <c r="AE63" s="98"/>
    </row>
    <row r="64" spans="1:31" s="38" customFormat="1" x14ac:dyDescent="0.25">
      <c r="A64" s="116" t="s">
        <v>29</v>
      </c>
      <c r="B64" s="96" t="s">
        <v>58</v>
      </c>
      <c r="C64" s="97">
        <v>244</v>
      </c>
      <c r="D64" s="97">
        <v>223</v>
      </c>
      <c r="E64" s="70">
        <f t="shared" si="6"/>
        <v>10435.02</v>
      </c>
      <c r="F64" s="56"/>
      <c r="G64" s="56"/>
      <c r="H64" s="56">
        <v>10435.02</v>
      </c>
      <c r="I64" s="93"/>
      <c r="J64" s="70"/>
      <c r="K64" s="70"/>
      <c r="L64" s="56"/>
      <c r="M64" s="70">
        <f>+O64+P64+R64+S64+T64</f>
        <v>0</v>
      </c>
      <c r="N64" s="70"/>
      <c r="O64" s="56"/>
      <c r="P64" s="56"/>
      <c r="Q64" s="56"/>
      <c r="R64" s="56"/>
      <c r="S64" s="56"/>
      <c r="T64" s="56"/>
      <c r="U64" s="70">
        <f t="shared" si="35"/>
        <v>10435.02</v>
      </c>
      <c r="V64" s="143">
        <f t="shared" si="8"/>
        <v>0</v>
      </c>
      <c r="W64" s="143">
        <f t="shared" si="8"/>
        <v>0</v>
      </c>
      <c r="X64" s="143">
        <f t="shared" si="8"/>
        <v>10435.02</v>
      </c>
      <c r="Y64" s="143"/>
      <c r="Z64" s="143">
        <f t="shared" si="8"/>
        <v>0</v>
      </c>
      <c r="AA64" s="143">
        <f t="shared" si="8"/>
        <v>0</v>
      </c>
      <c r="AB64" s="143">
        <f t="shared" si="18"/>
        <v>0</v>
      </c>
      <c r="AC64" s="116"/>
      <c r="AD64" s="98"/>
      <c r="AE64" s="98"/>
    </row>
    <row r="65" spans="1:31" s="38" customFormat="1" x14ac:dyDescent="0.25">
      <c r="A65" s="116" t="s">
        <v>30</v>
      </c>
      <c r="B65" s="96" t="s">
        <v>56</v>
      </c>
      <c r="C65" s="97">
        <v>244</v>
      </c>
      <c r="D65" s="97">
        <v>223</v>
      </c>
      <c r="E65" s="70">
        <f t="shared" si="6"/>
        <v>25231.77</v>
      </c>
      <c r="F65" s="56"/>
      <c r="G65" s="56"/>
      <c r="H65" s="56">
        <v>25231.77</v>
      </c>
      <c r="I65" s="93"/>
      <c r="J65" s="70"/>
      <c r="K65" s="70"/>
      <c r="L65" s="70"/>
      <c r="M65" s="70">
        <f t="shared" si="9"/>
        <v>0</v>
      </c>
      <c r="N65" s="70"/>
      <c r="O65" s="56"/>
      <c r="P65" s="56"/>
      <c r="Q65" s="56"/>
      <c r="R65" s="56"/>
      <c r="S65" s="56"/>
      <c r="T65" s="56"/>
      <c r="U65" s="70">
        <f t="shared" si="35"/>
        <v>25231.77</v>
      </c>
      <c r="V65" s="143">
        <f t="shared" si="8"/>
        <v>0</v>
      </c>
      <c r="W65" s="143">
        <f t="shared" si="8"/>
        <v>0</v>
      </c>
      <c r="X65" s="143">
        <f t="shared" si="8"/>
        <v>25231.77</v>
      </c>
      <c r="Y65" s="143"/>
      <c r="Z65" s="143">
        <f t="shared" si="8"/>
        <v>0</v>
      </c>
      <c r="AA65" s="143">
        <f t="shared" si="8"/>
        <v>0</v>
      </c>
      <c r="AB65" s="143">
        <f t="shared" si="18"/>
        <v>0</v>
      </c>
      <c r="AC65" s="116"/>
      <c r="AD65" s="98"/>
      <c r="AE65" s="98"/>
    </row>
    <row r="66" spans="1:31" s="38" customFormat="1" ht="25.5" x14ac:dyDescent="0.25">
      <c r="A66" s="116" t="s">
        <v>50</v>
      </c>
      <c r="B66" s="96" t="s">
        <v>56</v>
      </c>
      <c r="C66" s="97">
        <v>244</v>
      </c>
      <c r="D66" s="97">
        <v>223</v>
      </c>
      <c r="E66" s="70">
        <f t="shared" si="6"/>
        <v>7182.95</v>
      </c>
      <c r="F66" s="56"/>
      <c r="G66" s="56"/>
      <c r="H66" s="56">
        <f>7182.95</f>
        <v>7182.95</v>
      </c>
      <c r="I66" s="93"/>
      <c r="J66" s="70"/>
      <c r="K66" s="70"/>
      <c r="L66" s="70"/>
      <c r="M66" s="70">
        <f t="shared" si="9"/>
        <v>0</v>
      </c>
      <c r="N66" s="70"/>
      <c r="O66" s="56"/>
      <c r="P66" s="56"/>
      <c r="Q66" s="56"/>
      <c r="R66" s="56"/>
      <c r="S66" s="56"/>
      <c r="T66" s="56"/>
      <c r="U66" s="70">
        <f t="shared" si="35"/>
        <v>7182.95</v>
      </c>
      <c r="V66" s="143">
        <f t="shared" si="8"/>
        <v>0</v>
      </c>
      <c r="W66" s="143">
        <f t="shared" si="8"/>
        <v>0</v>
      </c>
      <c r="X66" s="143">
        <f t="shared" si="8"/>
        <v>7182.95</v>
      </c>
      <c r="Y66" s="143"/>
      <c r="Z66" s="143">
        <f t="shared" si="8"/>
        <v>0</v>
      </c>
      <c r="AA66" s="143">
        <f t="shared" si="8"/>
        <v>0</v>
      </c>
      <c r="AB66" s="143">
        <f t="shared" si="18"/>
        <v>0</v>
      </c>
      <c r="AC66" s="116"/>
      <c r="AD66" s="98"/>
      <c r="AE66" s="98"/>
    </row>
    <row r="67" spans="1:31" s="50" customFormat="1" x14ac:dyDescent="0.25">
      <c r="A67" s="119" t="s">
        <v>31</v>
      </c>
      <c r="B67" s="120"/>
      <c r="C67" s="118"/>
      <c r="D67" s="118"/>
      <c r="E67" s="70">
        <f t="shared" si="6"/>
        <v>184324.49000000005</v>
      </c>
      <c r="F67" s="70">
        <f t="shared" ref="F67:L67" si="59">F56+F60+F64+F65+F66+F59+F62</f>
        <v>0</v>
      </c>
      <c r="G67" s="70">
        <f t="shared" si="59"/>
        <v>0</v>
      </c>
      <c r="H67" s="70">
        <f>H56+H60+H64+H65+H66+H59+H62+H63</f>
        <v>162963.16000000003</v>
      </c>
      <c r="I67" s="121"/>
      <c r="J67" s="70">
        <f t="shared" si="59"/>
        <v>0</v>
      </c>
      <c r="K67" s="70">
        <f t="shared" si="59"/>
        <v>0</v>
      </c>
      <c r="L67" s="70">
        <f t="shared" si="59"/>
        <v>21361.33</v>
      </c>
      <c r="M67" s="70">
        <f t="shared" si="9"/>
        <v>0</v>
      </c>
      <c r="N67" s="70"/>
      <c r="O67" s="56"/>
      <c r="P67" s="56"/>
      <c r="Q67" s="56"/>
      <c r="R67" s="56"/>
      <c r="S67" s="56"/>
      <c r="T67" s="56"/>
      <c r="U67" s="70">
        <f t="shared" si="7"/>
        <v>184324.49000000005</v>
      </c>
      <c r="V67" s="143">
        <f t="shared" si="8"/>
        <v>0</v>
      </c>
      <c r="W67" s="143">
        <f t="shared" si="8"/>
        <v>0</v>
      </c>
      <c r="X67" s="143">
        <f t="shared" si="8"/>
        <v>162963.16000000003</v>
      </c>
      <c r="Y67" s="143"/>
      <c r="Z67" s="143">
        <f t="shared" si="8"/>
        <v>0</v>
      </c>
      <c r="AA67" s="143">
        <f t="shared" si="8"/>
        <v>0</v>
      </c>
      <c r="AB67" s="143">
        <f t="shared" si="18"/>
        <v>21361.33</v>
      </c>
      <c r="AC67" s="116"/>
      <c r="AD67" s="150"/>
      <c r="AE67" s="150"/>
    </row>
    <row r="68" spans="1:31" s="38" customFormat="1" x14ac:dyDescent="0.25">
      <c r="A68" s="116" t="s">
        <v>32</v>
      </c>
      <c r="B68" s="96" t="s">
        <v>56</v>
      </c>
      <c r="C68" s="97">
        <v>247</v>
      </c>
      <c r="D68" s="97">
        <v>223</v>
      </c>
      <c r="E68" s="70">
        <f t="shared" si="6"/>
        <v>567892.1100000001</v>
      </c>
      <c r="F68" s="56"/>
      <c r="G68" s="56"/>
      <c r="H68" s="56">
        <f>223555.14+358308.92-13971.95</f>
        <v>567892.1100000001</v>
      </c>
      <c r="I68" s="93"/>
      <c r="J68" s="56"/>
      <c r="K68" s="56"/>
      <c r="L68" s="56"/>
      <c r="M68" s="70">
        <f t="shared" si="9"/>
        <v>0</v>
      </c>
      <c r="N68" s="70">
        <f t="shared" ref="N68:S68" si="60">SUM(N59:N67)</f>
        <v>0</v>
      </c>
      <c r="O68" s="70">
        <f t="shared" si="60"/>
        <v>0</v>
      </c>
      <c r="P68" s="70"/>
      <c r="Q68" s="70">
        <f t="shared" si="60"/>
        <v>0</v>
      </c>
      <c r="R68" s="70">
        <f t="shared" si="60"/>
        <v>0</v>
      </c>
      <c r="S68" s="70">
        <f t="shared" si="60"/>
        <v>0</v>
      </c>
      <c r="T68" s="70"/>
      <c r="U68" s="70">
        <f t="shared" si="7"/>
        <v>567892.1100000001</v>
      </c>
      <c r="V68" s="146">
        <f t="shared" si="8"/>
        <v>0</v>
      </c>
      <c r="W68" s="146">
        <f t="shared" si="8"/>
        <v>0</v>
      </c>
      <c r="X68" s="146">
        <f t="shared" si="8"/>
        <v>567892.1100000001</v>
      </c>
      <c r="Y68" s="146"/>
      <c r="Z68" s="146">
        <f t="shared" si="8"/>
        <v>0</v>
      </c>
      <c r="AA68" s="146">
        <f t="shared" si="8"/>
        <v>0</v>
      </c>
      <c r="AB68" s="146">
        <f t="shared" si="18"/>
        <v>0</v>
      </c>
      <c r="AC68" s="119"/>
      <c r="AD68" s="98"/>
      <c r="AE68" s="98"/>
    </row>
    <row r="69" spans="1:31" s="38" customFormat="1" ht="25.5" x14ac:dyDescent="0.25">
      <c r="A69" s="116" t="s">
        <v>186</v>
      </c>
      <c r="B69" s="96" t="s">
        <v>58</v>
      </c>
      <c r="C69" s="97">
        <v>247</v>
      </c>
      <c r="D69" s="97">
        <v>223</v>
      </c>
      <c r="E69" s="70"/>
      <c r="F69" s="56"/>
      <c r="G69" s="56"/>
      <c r="H69" s="56"/>
      <c r="I69" s="93"/>
      <c r="J69" s="56"/>
      <c r="K69" s="56"/>
      <c r="L69" s="56"/>
      <c r="M69" s="70">
        <f>+O69+P69+R69+S69+T69</f>
        <v>0</v>
      </c>
      <c r="N69" s="70"/>
      <c r="O69" s="70"/>
      <c r="P69" s="70"/>
      <c r="Q69" s="70"/>
      <c r="R69" s="70"/>
      <c r="S69" s="70"/>
      <c r="T69" s="70"/>
      <c r="U69" s="70">
        <f t="shared" si="7"/>
        <v>0</v>
      </c>
      <c r="V69" s="143">
        <f t="shared" ref="V69" si="61">F69+N69</f>
        <v>0</v>
      </c>
      <c r="W69" s="143">
        <f t="shared" ref="W69" si="62">G69+O69</f>
        <v>0</v>
      </c>
      <c r="X69" s="143">
        <f t="shared" ref="X69" si="63">H69+P69</f>
        <v>0</v>
      </c>
      <c r="Y69" s="143"/>
      <c r="Z69" s="143">
        <f t="shared" ref="Z69" si="64">J69+R69</f>
        <v>0</v>
      </c>
      <c r="AA69" s="143">
        <f t="shared" ref="AA69" si="65">K69+S69</f>
        <v>0</v>
      </c>
      <c r="AB69" s="143">
        <f t="shared" ref="AB69" si="66">L69+T69</f>
        <v>0</v>
      </c>
      <c r="AC69" s="119"/>
      <c r="AD69" s="98"/>
      <c r="AE69" s="98"/>
    </row>
    <row r="70" spans="1:31" s="38" customFormat="1" x14ac:dyDescent="0.25">
      <c r="A70" s="116" t="s">
        <v>32</v>
      </c>
      <c r="B70" s="96" t="s">
        <v>58</v>
      </c>
      <c r="C70" s="97">
        <v>247</v>
      </c>
      <c r="D70" s="97">
        <v>223</v>
      </c>
      <c r="E70" s="70">
        <f t="shared" si="6"/>
        <v>794479.6</v>
      </c>
      <c r="F70" s="56"/>
      <c r="G70" s="56"/>
      <c r="H70" s="56">
        <f>238615.34+254339.34</f>
        <v>492954.68</v>
      </c>
      <c r="I70" s="93"/>
      <c r="J70" s="56"/>
      <c r="K70" s="56"/>
      <c r="L70" s="56">
        <v>301524.92</v>
      </c>
      <c r="M70" s="70">
        <f>+O70+P70+R70+S70+T70</f>
        <v>0</v>
      </c>
      <c r="N70" s="70"/>
      <c r="O70" s="56"/>
      <c r="P70" s="56"/>
      <c r="Q70" s="56"/>
      <c r="R70" s="56"/>
      <c r="S70" s="56"/>
      <c r="T70" s="56"/>
      <c r="U70" s="70">
        <f t="shared" si="7"/>
        <v>794479.6</v>
      </c>
      <c r="V70" s="143">
        <f t="shared" si="8"/>
        <v>0</v>
      </c>
      <c r="W70" s="143">
        <f t="shared" si="8"/>
        <v>0</v>
      </c>
      <c r="X70" s="143">
        <f t="shared" si="8"/>
        <v>492954.68</v>
      </c>
      <c r="Y70" s="143"/>
      <c r="Z70" s="143">
        <f t="shared" si="8"/>
        <v>0</v>
      </c>
      <c r="AA70" s="143">
        <f t="shared" si="8"/>
        <v>0</v>
      </c>
      <c r="AB70" s="143">
        <f t="shared" ref="AB70:AB78" si="67">L70+T70</f>
        <v>301524.92</v>
      </c>
      <c r="AC70" s="116"/>
      <c r="AD70" s="98"/>
      <c r="AE70" s="98"/>
    </row>
    <row r="71" spans="1:31" s="38" customFormat="1" x14ac:dyDescent="0.25">
      <c r="A71" s="116" t="s">
        <v>33</v>
      </c>
      <c r="B71" s="96" t="s">
        <v>56</v>
      </c>
      <c r="C71" s="97">
        <v>247</v>
      </c>
      <c r="D71" s="97">
        <v>223</v>
      </c>
      <c r="E71" s="70">
        <f t="shared" si="6"/>
        <v>28948.120000000003</v>
      </c>
      <c r="F71" s="56"/>
      <c r="G71" s="56"/>
      <c r="H71" s="56">
        <f>15308.34+13639.78</f>
        <v>28948.120000000003</v>
      </c>
      <c r="I71" s="93"/>
      <c r="J71" s="56"/>
      <c r="K71" s="56"/>
      <c r="L71" s="56"/>
      <c r="M71" s="70">
        <f t="shared" si="9"/>
        <v>0</v>
      </c>
      <c r="N71" s="70"/>
      <c r="O71" s="56"/>
      <c r="P71" s="56"/>
      <c r="Q71" s="56"/>
      <c r="R71" s="56"/>
      <c r="S71" s="56"/>
      <c r="T71" s="56"/>
      <c r="U71" s="70">
        <f t="shared" si="7"/>
        <v>28948.120000000003</v>
      </c>
      <c r="V71" s="143">
        <f t="shared" si="8"/>
        <v>0</v>
      </c>
      <c r="W71" s="143">
        <f t="shared" si="8"/>
        <v>0</v>
      </c>
      <c r="X71" s="143">
        <f t="shared" si="8"/>
        <v>28948.120000000003</v>
      </c>
      <c r="Y71" s="143"/>
      <c r="Z71" s="143">
        <f t="shared" si="8"/>
        <v>0</v>
      </c>
      <c r="AA71" s="143">
        <f t="shared" si="8"/>
        <v>0</v>
      </c>
      <c r="AB71" s="143">
        <f t="shared" si="18"/>
        <v>0</v>
      </c>
      <c r="AC71" s="116"/>
      <c r="AD71" s="98"/>
      <c r="AE71" s="98"/>
    </row>
    <row r="72" spans="1:31" s="38" customFormat="1" ht="38.25" x14ac:dyDescent="0.25">
      <c r="A72" s="116" t="s">
        <v>187</v>
      </c>
      <c r="B72" s="96" t="s">
        <v>58</v>
      </c>
      <c r="C72" s="97">
        <v>247</v>
      </c>
      <c r="D72" s="97">
        <v>223</v>
      </c>
      <c r="E72" s="70"/>
      <c r="F72" s="56"/>
      <c r="G72" s="56"/>
      <c r="H72" s="56"/>
      <c r="I72" s="93"/>
      <c r="J72" s="56"/>
      <c r="K72" s="56"/>
      <c r="L72" s="56"/>
      <c r="M72" s="70">
        <f>+O72+P72+R72+S72+T72</f>
        <v>0</v>
      </c>
      <c r="N72" s="70"/>
      <c r="O72" s="56"/>
      <c r="P72" s="56"/>
      <c r="Q72" s="56"/>
      <c r="R72" s="56"/>
      <c r="S72" s="56"/>
      <c r="T72" s="56"/>
      <c r="U72" s="70">
        <f t="shared" ref="U72" si="68">V72+W72+X72+AB72+Z72+AA72</f>
        <v>0</v>
      </c>
      <c r="V72" s="143">
        <f t="shared" ref="V72" si="69">F72+N72</f>
        <v>0</v>
      </c>
      <c r="W72" s="143">
        <f t="shared" ref="W72" si="70">G72+O72</f>
        <v>0</v>
      </c>
      <c r="X72" s="143">
        <f t="shared" ref="X72" si="71">H72+P72</f>
        <v>0</v>
      </c>
      <c r="Y72" s="143"/>
      <c r="Z72" s="143">
        <f t="shared" ref="Z72" si="72">J72+R72</f>
        <v>0</v>
      </c>
      <c r="AA72" s="143">
        <f t="shared" ref="AA72" si="73">K72+S72</f>
        <v>0</v>
      </c>
      <c r="AB72" s="143">
        <f t="shared" si="67"/>
        <v>0</v>
      </c>
      <c r="AC72" s="116"/>
      <c r="AD72" s="98"/>
      <c r="AE72" s="98"/>
    </row>
    <row r="73" spans="1:31" s="38" customFormat="1" x14ac:dyDescent="0.25">
      <c r="A73" s="116" t="s">
        <v>33</v>
      </c>
      <c r="B73" s="96" t="s">
        <v>58</v>
      </c>
      <c r="C73" s="97">
        <v>247</v>
      </c>
      <c r="D73" s="97">
        <v>223</v>
      </c>
      <c r="E73" s="70">
        <f t="shared" si="6"/>
        <v>17339.760000000002</v>
      </c>
      <c r="F73" s="56"/>
      <c r="G73" s="56"/>
      <c r="H73" s="56">
        <f>8474.94+8864.82</f>
        <v>17339.760000000002</v>
      </c>
      <c r="I73" s="93"/>
      <c r="J73" s="56"/>
      <c r="K73" s="56"/>
      <c r="L73" s="56"/>
      <c r="M73" s="70">
        <f>+O73+P73+R73+S73+T73</f>
        <v>0</v>
      </c>
      <c r="N73" s="70"/>
      <c r="O73" s="56"/>
      <c r="P73" s="56"/>
      <c r="Q73" s="56"/>
      <c r="R73" s="56"/>
      <c r="S73" s="56"/>
      <c r="T73" s="56"/>
      <c r="U73" s="70">
        <f t="shared" si="7"/>
        <v>17339.760000000002</v>
      </c>
      <c r="V73" s="143">
        <f t="shared" si="8"/>
        <v>0</v>
      </c>
      <c r="W73" s="143">
        <f t="shared" si="8"/>
        <v>0</v>
      </c>
      <c r="X73" s="143">
        <f t="shared" si="8"/>
        <v>17339.760000000002</v>
      </c>
      <c r="Y73" s="143"/>
      <c r="Z73" s="143">
        <f t="shared" si="8"/>
        <v>0</v>
      </c>
      <c r="AA73" s="143">
        <f t="shared" si="8"/>
        <v>0</v>
      </c>
      <c r="AB73" s="143">
        <f t="shared" si="67"/>
        <v>0</v>
      </c>
      <c r="AC73" s="116"/>
      <c r="AD73" s="98"/>
      <c r="AE73" s="98"/>
    </row>
    <row r="74" spans="1:31" s="38" customFormat="1" x14ac:dyDescent="0.25">
      <c r="A74" s="116" t="s">
        <v>34</v>
      </c>
      <c r="B74" s="96" t="s">
        <v>56</v>
      </c>
      <c r="C74" s="97">
        <v>247</v>
      </c>
      <c r="D74" s="97">
        <v>223</v>
      </c>
      <c r="E74" s="70">
        <f t="shared" si="6"/>
        <v>19618.309999999998</v>
      </c>
      <c r="F74" s="56"/>
      <c r="G74" s="56"/>
      <c r="H74" s="56">
        <f>10526.13+9092.18</f>
        <v>19618.309999999998</v>
      </c>
      <c r="I74" s="93"/>
      <c r="J74" s="56"/>
      <c r="K74" s="56"/>
      <c r="L74" s="56"/>
      <c r="M74" s="70">
        <f t="shared" si="9"/>
        <v>0</v>
      </c>
      <c r="N74" s="70"/>
      <c r="O74" s="56"/>
      <c r="P74" s="56"/>
      <c r="Q74" s="56"/>
      <c r="R74" s="56"/>
      <c r="S74" s="56"/>
      <c r="T74" s="56"/>
      <c r="U74" s="70">
        <f t="shared" si="7"/>
        <v>19618.309999999998</v>
      </c>
      <c r="V74" s="143">
        <f t="shared" si="8"/>
        <v>0</v>
      </c>
      <c r="W74" s="143">
        <f t="shared" si="8"/>
        <v>0</v>
      </c>
      <c r="X74" s="143">
        <f t="shared" si="8"/>
        <v>19618.309999999998</v>
      </c>
      <c r="Y74" s="143"/>
      <c r="Z74" s="143">
        <f t="shared" si="8"/>
        <v>0</v>
      </c>
      <c r="AA74" s="143">
        <f t="shared" si="8"/>
        <v>0</v>
      </c>
      <c r="AB74" s="143">
        <f t="shared" si="18"/>
        <v>0</v>
      </c>
      <c r="AC74" s="116"/>
      <c r="AD74" s="98"/>
      <c r="AE74" s="98"/>
    </row>
    <row r="75" spans="1:31" s="38" customFormat="1" ht="38.25" x14ac:dyDescent="0.25">
      <c r="A75" s="116" t="s">
        <v>188</v>
      </c>
      <c r="B75" s="96" t="s">
        <v>58</v>
      </c>
      <c r="C75" s="97">
        <v>247</v>
      </c>
      <c r="D75" s="97">
        <v>223</v>
      </c>
      <c r="E75" s="70"/>
      <c r="F75" s="56"/>
      <c r="G75" s="56"/>
      <c r="H75" s="56"/>
      <c r="I75" s="93"/>
      <c r="J75" s="56"/>
      <c r="K75" s="56"/>
      <c r="L75" s="56"/>
      <c r="M75" s="70">
        <f>+O75+P75+R75+S75+T75</f>
        <v>0</v>
      </c>
      <c r="N75" s="70"/>
      <c r="O75" s="56"/>
      <c r="P75" s="56"/>
      <c r="Q75" s="56"/>
      <c r="R75" s="56"/>
      <c r="S75" s="56"/>
      <c r="T75" s="56"/>
      <c r="U75" s="70">
        <f t="shared" ref="U75" si="74">V75+W75+X75+AB75+Z75+AA75</f>
        <v>0</v>
      </c>
      <c r="V75" s="143">
        <f t="shared" ref="V75" si="75">F75+N75</f>
        <v>0</v>
      </c>
      <c r="W75" s="143">
        <f t="shared" ref="W75" si="76">G75+O75</f>
        <v>0</v>
      </c>
      <c r="X75" s="143">
        <f t="shared" ref="X75" si="77">H75+P75</f>
        <v>0</v>
      </c>
      <c r="Y75" s="143"/>
      <c r="Z75" s="143">
        <f t="shared" ref="Z75" si="78">J75+R75</f>
        <v>0</v>
      </c>
      <c r="AA75" s="143">
        <f t="shared" ref="AA75" si="79">K75+S75</f>
        <v>0</v>
      </c>
      <c r="AB75" s="143">
        <f t="shared" si="67"/>
        <v>0</v>
      </c>
      <c r="AC75" s="116"/>
      <c r="AD75" s="98"/>
      <c r="AE75" s="98"/>
    </row>
    <row r="76" spans="1:31" s="38" customFormat="1" x14ac:dyDescent="0.25">
      <c r="A76" s="116" t="s">
        <v>34</v>
      </c>
      <c r="B76" s="96" t="s">
        <v>58</v>
      </c>
      <c r="C76" s="97">
        <v>247</v>
      </c>
      <c r="D76" s="97">
        <v>223</v>
      </c>
      <c r="E76" s="70">
        <f t="shared" si="6"/>
        <v>9938.32</v>
      </c>
      <c r="F76" s="56"/>
      <c r="G76" s="56"/>
      <c r="H76" s="56">
        <f>6386.51+3551.81</f>
        <v>9938.32</v>
      </c>
      <c r="I76" s="93"/>
      <c r="J76" s="56"/>
      <c r="K76" s="56"/>
      <c r="L76" s="56"/>
      <c r="M76" s="70">
        <f>+O76+P76+R76+S76+T76</f>
        <v>0</v>
      </c>
      <c r="N76" s="70"/>
      <c r="O76" s="56"/>
      <c r="P76" s="56"/>
      <c r="Q76" s="56"/>
      <c r="R76" s="56"/>
      <c r="S76" s="56"/>
      <c r="T76" s="56"/>
      <c r="U76" s="70">
        <f t="shared" si="7"/>
        <v>9938.32</v>
      </c>
      <c r="V76" s="143">
        <f t="shared" si="8"/>
        <v>0</v>
      </c>
      <c r="W76" s="143">
        <f t="shared" si="8"/>
        <v>0</v>
      </c>
      <c r="X76" s="143">
        <f t="shared" si="8"/>
        <v>9938.32</v>
      </c>
      <c r="Y76" s="143"/>
      <c r="Z76" s="143">
        <f t="shared" si="8"/>
        <v>0</v>
      </c>
      <c r="AA76" s="143">
        <f t="shared" si="8"/>
        <v>0</v>
      </c>
      <c r="AB76" s="143">
        <f t="shared" si="67"/>
        <v>0</v>
      </c>
      <c r="AC76" s="116"/>
      <c r="AD76" s="98"/>
      <c r="AE76" s="98"/>
    </row>
    <row r="77" spans="1:31" s="38" customFormat="1" x14ac:dyDescent="0.25">
      <c r="A77" s="116" t="s">
        <v>35</v>
      </c>
      <c r="B77" s="96" t="s">
        <v>56</v>
      </c>
      <c r="C77" s="97">
        <v>247</v>
      </c>
      <c r="D77" s="97">
        <v>223</v>
      </c>
      <c r="E77" s="70">
        <f t="shared" si="6"/>
        <v>344255.56999999995</v>
      </c>
      <c r="F77" s="56"/>
      <c r="G77" s="56"/>
      <c r="H77" s="56">
        <f>164034.99+180220.58</f>
        <v>344255.56999999995</v>
      </c>
      <c r="I77" s="93"/>
      <c r="J77" s="56"/>
      <c r="K77" s="56"/>
      <c r="L77" s="56"/>
      <c r="M77" s="70">
        <f t="shared" si="9"/>
        <v>0</v>
      </c>
      <c r="N77" s="70"/>
      <c r="O77" s="56"/>
      <c r="P77" s="56"/>
      <c r="Q77" s="56"/>
      <c r="R77" s="56"/>
      <c r="S77" s="56"/>
      <c r="T77" s="56"/>
      <c r="U77" s="70">
        <f t="shared" si="7"/>
        <v>344255.56999999995</v>
      </c>
      <c r="V77" s="143">
        <f t="shared" si="8"/>
        <v>0</v>
      </c>
      <c r="W77" s="143">
        <f t="shared" si="8"/>
        <v>0</v>
      </c>
      <c r="X77" s="143">
        <f t="shared" si="8"/>
        <v>344255.56999999995</v>
      </c>
      <c r="Y77" s="143"/>
      <c r="Z77" s="143">
        <f t="shared" si="8"/>
        <v>0</v>
      </c>
      <c r="AA77" s="143">
        <f t="shared" si="8"/>
        <v>0</v>
      </c>
      <c r="AB77" s="143">
        <f t="shared" si="18"/>
        <v>0</v>
      </c>
      <c r="AC77" s="116"/>
      <c r="AD77" s="98"/>
      <c r="AE77" s="98"/>
    </row>
    <row r="78" spans="1:31" s="38" customFormat="1" ht="25.5" x14ac:dyDescent="0.25">
      <c r="A78" s="116" t="s">
        <v>189</v>
      </c>
      <c r="B78" s="96" t="s">
        <v>58</v>
      </c>
      <c r="C78" s="97">
        <v>247</v>
      </c>
      <c r="D78" s="97">
        <v>223</v>
      </c>
      <c r="E78" s="70"/>
      <c r="F78" s="56"/>
      <c r="G78" s="56"/>
      <c r="H78" s="56"/>
      <c r="I78" s="93"/>
      <c r="J78" s="56"/>
      <c r="K78" s="56"/>
      <c r="L78" s="56"/>
      <c r="M78" s="70">
        <f>+O78+P78+R78+S78+T78</f>
        <v>0</v>
      </c>
      <c r="N78" s="70"/>
      <c r="O78" s="56"/>
      <c r="P78" s="56"/>
      <c r="Q78" s="56"/>
      <c r="R78" s="56"/>
      <c r="S78" s="56"/>
      <c r="T78" s="56"/>
      <c r="U78" s="70">
        <f t="shared" si="7"/>
        <v>0</v>
      </c>
      <c r="V78" s="143">
        <f t="shared" ref="V78" si="80">F78+N78</f>
        <v>0</v>
      </c>
      <c r="W78" s="143">
        <f t="shared" ref="W78" si="81">G78+O78</f>
        <v>0</v>
      </c>
      <c r="X78" s="143">
        <f t="shared" ref="X78" si="82">H78+P78</f>
        <v>0</v>
      </c>
      <c r="Y78" s="143"/>
      <c r="Z78" s="143">
        <f t="shared" ref="Z78" si="83">J78+R78</f>
        <v>0</v>
      </c>
      <c r="AA78" s="143">
        <f t="shared" ref="AA78" si="84">K78+S78</f>
        <v>0</v>
      </c>
      <c r="AB78" s="143">
        <f t="shared" si="67"/>
        <v>0</v>
      </c>
      <c r="AC78" s="116"/>
      <c r="AD78" s="98"/>
      <c r="AE78" s="98"/>
    </row>
    <row r="79" spans="1:31" s="38" customFormat="1" x14ac:dyDescent="0.25">
      <c r="A79" s="116" t="s">
        <v>35</v>
      </c>
      <c r="B79" s="96" t="s">
        <v>58</v>
      </c>
      <c r="C79" s="97">
        <v>247</v>
      </c>
      <c r="D79" s="97">
        <v>223</v>
      </c>
      <c r="E79" s="70">
        <f t="shared" si="6"/>
        <v>196943.8</v>
      </c>
      <c r="F79" s="56"/>
      <c r="G79" s="56"/>
      <c r="H79" s="56">
        <v>196943.8</v>
      </c>
      <c r="I79" s="93"/>
      <c r="J79" s="56"/>
      <c r="K79" s="56"/>
      <c r="L79" s="56"/>
      <c r="M79" s="70">
        <f>+O79+P79+R79+S79+T79</f>
        <v>0</v>
      </c>
      <c r="N79" s="70"/>
      <c r="O79" s="56"/>
      <c r="P79" s="56"/>
      <c r="Q79" s="56"/>
      <c r="R79" s="56"/>
      <c r="S79" s="56"/>
      <c r="T79" s="56"/>
      <c r="U79" s="70">
        <f>V79+W79+X79+AB79+Z79+AA79</f>
        <v>196943.8</v>
      </c>
      <c r="V79" s="143">
        <f t="shared" si="8"/>
        <v>0</v>
      </c>
      <c r="W79" s="143">
        <f t="shared" si="8"/>
        <v>0</v>
      </c>
      <c r="X79" s="143">
        <f t="shared" si="8"/>
        <v>196943.8</v>
      </c>
      <c r="Y79" s="143"/>
      <c r="Z79" s="143">
        <f t="shared" si="8"/>
        <v>0</v>
      </c>
      <c r="AA79" s="143">
        <f t="shared" si="8"/>
        <v>0</v>
      </c>
      <c r="AB79" s="136">
        <f>L79+T79</f>
        <v>0</v>
      </c>
      <c r="AC79" s="116"/>
      <c r="AD79" s="98"/>
      <c r="AE79" s="98"/>
    </row>
    <row r="80" spans="1:31" s="50" customFormat="1" x14ac:dyDescent="0.25">
      <c r="A80" s="119" t="s">
        <v>36</v>
      </c>
      <c r="B80" s="120"/>
      <c r="C80" s="118"/>
      <c r="D80" s="118"/>
      <c r="E80" s="70">
        <f t="shared" si="6"/>
        <v>1979415.59</v>
      </c>
      <c r="F80" s="70">
        <f t="shared" ref="F80:G80" si="85">F68+F71+F74+F77+F70+F73+F76+F79</f>
        <v>0</v>
      </c>
      <c r="G80" s="70">
        <f t="shared" si="85"/>
        <v>0</v>
      </c>
      <c r="H80" s="70">
        <f>H68+H71+H74+H77+H70+H73+H76+H79</f>
        <v>1677890.6700000002</v>
      </c>
      <c r="I80" s="121"/>
      <c r="J80" s="70">
        <f t="shared" ref="J80:K80" si="86">J68+J71+J74+J77+J70+J73+J76+J79</f>
        <v>0</v>
      </c>
      <c r="K80" s="70">
        <f t="shared" si="86"/>
        <v>0</v>
      </c>
      <c r="L80" s="70">
        <f>L68+L71+L74+L77+L70+L73+L76+L79</f>
        <v>301524.92</v>
      </c>
      <c r="M80" s="70">
        <f t="shared" si="9"/>
        <v>0</v>
      </c>
      <c r="N80" s="70"/>
      <c r="O80" s="56"/>
      <c r="P80" s="56"/>
      <c r="Q80" s="56"/>
      <c r="R80" s="56"/>
      <c r="S80" s="56"/>
      <c r="T80" s="56"/>
      <c r="U80" s="70">
        <f t="shared" si="7"/>
        <v>1979415.59</v>
      </c>
      <c r="V80" s="143">
        <f t="shared" si="8"/>
        <v>0</v>
      </c>
      <c r="W80" s="143">
        <f t="shared" si="8"/>
        <v>0</v>
      </c>
      <c r="X80" s="143">
        <f t="shared" si="8"/>
        <v>1677890.6700000002</v>
      </c>
      <c r="Y80" s="143"/>
      <c r="Z80" s="143">
        <f t="shared" si="8"/>
        <v>0</v>
      </c>
      <c r="AA80" s="143">
        <f t="shared" ref="AA80:AB144" si="87">K80+S80</f>
        <v>0</v>
      </c>
      <c r="AB80" s="143">
        <f t="shared" si="18"/>
        <v>301524.92</v>
      </c>
      <c r="AC80" s="116"/>
      <c r="AD80" s="150"/>
      <c r="AE80" s="150"/>
    </row>
    <row r="81" spans="1:31" s="38" customFormat="1" ht="102" customHeight="1" x14ac:dyDescent="0.25">
      <c r="A81" s="116" t="s">
        <v>87</v>
      </c>
      <c r="B81" s="96" t="s">
        <v>59</v>
      </c>
      <c r="C81" s="97">
        <v>244</v>
      </c>
      <c r="D81" s="97">
        <v>225</v>
      </c>
      <c r="E81" s="70">
        <f t="shared" si="6"/>
        <v>9313.2999999999993</v>
      </c>
      <c r="F81" s="70"/>
      <c r="G81" s="56"/>
      <c r="H81" s="56">
        <v>8271.23</v>
      </c>
      <c r="I81" s="93"/>
      <c r="J81" s="56"/>
      <c r="K81" s="56"/>
      <c r="L81" s="56">
        <v>1042.07</v>
      </c>
      <c r="M81" s="70">
        <f t="shared" si="9"/>
        <v>1127.9000000000001</v>
      </c>
      <c r="N81" s="70"/>
      <c r="O81" s="56">
        <v>1127.9000000000001</v>
      </c>
      <c r="P81" s="70"/>
      <c r="Q81" s="70"/>
      <c r="R81" s="70"/>
      <c r="S81" s="70"/>
      <c r="T81" s="70"/>
      <c r="U81" s="70">
        <f t="shared" si="7"/>
        <v>10441.199999999999</v>
      </c>
      <c r="V81" s="146">
        <f t="shared" ref="V81:Y145" si="88">F81+N81</f>
        <v>0</v>
      </c>
      <c r="W81" s="146">
        <f t="shared" si="88"/>
        <v>1127.9000000000001</v>
      </c>
      <c r="X81" s="146">
        <f t="shared" si="88"/>
        <v>8271.23</v>
      </c>
      <c r="Y81" s="146"/>
      <c r="Z81" s="146">
        <f t="shared" ref="Z81:AB145" si="89">J81+R81</f>
        <v>0</v>
      </c>
      <c r="AA81" s="146">
        <f t="shared" si="87"/>
        <v>0</v>
      </c>
      <c r="AB81" s="146">
        <f t="shared" si="18"/>
        <v>1042.07</v>
      </c>
      <c r="AC81" s="116" t="s">
        <v>164</v>
      </c>
      <c r="AD81" s="98"/>
      <c r="AE81" s="98"/>
    </row>
    <row r="82" spans="1:31" s="38" customFormat="1" x14ac:dyDescent="0.25">
      <c r="A82" s="116" t="s">
        <v>64</v>
      </c>
      <c r="B82" s="96" t="s">
        <v>58</v>
      </c>
      <c r="C82" s="97">
        <v>244</v>
      </c>
      <c r="D82" s="97">
        <v>225</v>
      </c>
      <c r="E82" s="70">
        <f t="shared" si="6"/>
        <v>4250</v>
      </c>
      <c r="F82" s="56"/>
      <c r="G82" s="56"/>
      <c r="H82" s="56">
        <v>4250</v>
      </c>
      <c r="I82" s="93"/>
      <c r="J82" s="70"/>
      <c r="K82" s="70"/>
      <c r="L82" s="70"/>
      <c r="M82" s="70">
        <f t="shared" si="9"/>
        <v>0</v>
      </c>
      <c r="N82" s="70"/>
      <c r="O82" s="56"/>
      <c r="P82" s="56"/>
      <c r="Q82" s="93"/>
      <c r="R82" s="56"/>
      <c r="S82" s="56"/>
      <c r="T82" s="56"/>
      <c r="U82" s="70">
        <f t="shared" si="7"/>
        <v>4250</v>
      </c>
      <c r="V82" s="143">
        <f t="shared" si="88"/>
        <v>0</v>
      </c>
      <c r="W82" s="136">
        <f>G82+O82</f>
        <v>0</v>
      </c>
      <c r="X82" s="143">
        <f t="shared" si="88"/>
        <v>4250</v>
      </c>
      <c r="Y82" s="143"/>
      <c r="Z82" s="143">
        <f t="shared" si="89"/>
        <v>0</v>
      </c>
      <c r="AA82" s="143">
        <f t="shared" si="87"/>
        <v>0</v>
      </c>
      <c r="AB82" s="136">
        <f>L82+T82</f>
        <v>0</v>
      </c>
      <c r="AC82" s="116"/>
      <c r="AD82" s="98"/>
      <c r="AE82" s="98"/>
    </row>
    <row r="83" spans="1:31" s="38" customFormat="1" x14ac:dyDescent="0.25">
      <c r="A83" s="116" t="s">
        <v>65</v>
      </c>
      <c r="B83" s="96" t="s">
        <v>58</v>
      </c>
      <c r="C83" s="97">
        <v>244</v>
      </c>
      <c r="D83" s="97">
        <v>225</v>
      </c>
      <c r="E83" s="70">
        <f t="shared" si="6"/>
        <v>10200</v>
      </c>
      <c r="F83" s="56"/>
      <c r="G83" s="56"/>
      <c r="H83" s="56">
        <v>10200</v>
      </c>
      <c r="I83" s="93"/>
      <c r="J83" s="70"/>
      <c r="K83" s="70"/>
      <c r="L83" s="70"/>
      <c r="M83" s="70">
        <f t="shared" si="9"/>
        <v>0</v>
      </c>
      <c r="N83" s="70"/>
      <c r="O83" s="56"/>
      <c r="P83" s="56"/>
      <c r="Q83" s="56"/>
      <c r="R83" s="56"/>
      <c r="S83" s="56"/>
      <c r="T83" s="56"/>
      <c r="U83" s="70">
        <f t="shared" si="7"/>
        <v>10200</v>
      </c>
      <c r="V83" s="143">
        <f t="shared" si="88"/>
        <v>0</v>
      </c>
      <c r="W83" s="143">
        <f t="shared" si="88"/>
        <v>0</v>
      </c>
      <c r="X83" s="143">
        <f t="shared" si="88"/>
        <v>10200</v>
      </c>
      <c r="Y83" s="143"/>
      <c r="Z83" s="143">
        <f t="shared" si="89"/>
        <v>0</v>
      </c>
      <c r="AA83" s="143">
        <f t="shared" si="87"/>
        <v>0</v>
      </c>
      <c r="AB83" s="143">
        <f t="shared" si="18"/>
        <v>0</v>
      </c>
      <c r="AC83" s="116"/>
      <c r="AD83" s="98"/>
      <c r="AE83" s="98"/>
    </row>
    <row r="84" spans="1:31" s="38" customFormat="1" ht="38.25" x14ac:dyDescent="0.25">
      <c r="A84" s="116" t="s">
        <v>66</v>
      </c>
      <c r="B84" s="96" t="s">
        <v>58</v>
      </c>
      <c r="C84" s="97">
        <v>244</v>
      </c>
      <c r="D84" s="97">
        <v>225</v>
      </c>
      <c r="E84" s="70">
        <f t="shared" si="6"/>
        <v>49200</v>
      </c>
      <c r="F84" s="56"/>
      <c r="G84" s="56"/>
      <c r="H84" s="56">
        <v>49200</v>
      </c>
      <c r="I84" s="93"/>
      <c r="J84" s="70"/>
      <c r="K84" s="70"/>
      <c r="L84" s="70"/>
      <c r="M84" s="70">
        <f t="shared" si="9"/>
        <v>0</v>
      </c>
      <c r="N84" s="70"/>
      <c r="O84" s="56"/>
      <c r="P84" s="56"/>
      <c r="Q84" s="56"/>
      <c r="R84" s="56"/>
      <c r="S84" s="56"/>
      <c r="T84" s="56"/>
      <c r="U84" s="70">
        <f t="shared" si="7"/>
        <v>49200</v>
      </c>
      <c r="V84" s="143">
        <f t="shared" si="88"/>
        <v>0</v>
      </c>
      <c r="W84" s="143">
        <f t="shared" si="88"/>
        <v>0</v>
      </c>
      <c r="X84" s="143">
        <f t="shared" si="88"/>
        <v>49200</v>
      </c>
      <c r="Y84" s="143"/>
      <c r="Z84" s="143">
        <f t="shared" si="89"/>
        <v>0</v>
      </c>
      <c r="AA84" s="143">
        <f t="shared" si="87"/>
        <v>0</v>
      </c>
      <c r="AB84" s="143">
        <f t="shared" si="18"/>
        <v>0</v>
      </c>
      <c r="AC84" s="116"/>
      <c r="AD84" s="98"/>
      <c r="AE84" s="98"/>
    </row>
    <row r="85" spans="1:31" s="38" customFormat="1" x14ac:dyDescent="0.25">
      <c r="A85" s="116" t="s">
        <v>67</v>
      </c>
      <c r="B85" s="96" t="s">
        <v>58</v>
      </c>
      <c r="C85" s="97">
        <v>244</v>
      </c>
      <c r="D85" s="97">
        <v>225</v>
      </c>
      <c r="E85" s="70">
        <f t="shared" si="6"/>
        <v>58584</v>
      </c>
      <c r="F85" s="56"/>
      <c r="G85" s="56"/>
      <c r="H85" s="56">
        <v>58584</v>
      </c>
      <c r="I85" s="93"/>
      <c r="J85" s="70"/>
      <c r="K85" s="70"/>
      <c r="L85" s="70"/>
      <c r="M85" s="70">
        <f t="shared" si="9"/>
        <v>0</v>
      </c>
      <c r="N85" s="70"/>
      <c r="O85" s="56"/>
      <c r="P85" s="56"/>
      <c r="Q85" s="56"/>
      <c r="R85" s="56"/>
      <c r="S85" s="56"/>
      <c r="T85" s="56"/>
      <c r="U85" s="70">
        <f t="shared" si="7"/>
        <v>58584</v>
      </c>
      <c r="V85" s="143">
        <f t="shared" si="88"/>
        <v>0</v>
      </c>
      <c r="W85" s="143">
        <f t="shared" si="88"/>
        <v>0</v>
      </c>
      <c r="X85" s="143">
        <f t="shared" si="88"/>
        <v>58584</v>
      </c>
      <c r="Y85" s="143"/>
      <c r="Z85" s="143">
        <f t="shared" si="89"/>
        <v>0</v>
      </c>
      <c r="AA85" s="143">
        <f t="shared" si="87"/>
        <v>0</v>
      </c>
      <c r="AB85" s="143">
        <f t="shared" si="18"/>
        <v>0</v>
      </c>
      <c r="AC85" s="116"/>
      <c r="AD85" s="98"/>
      <c r="AE85" s="98"/>
    </row>
    <row r="86" spans="1:31" s="38" customFormat="1" ht="25.5" x14ac:dyDescent="0.25">
      <c r="A86" s="116" t="s">
        <v>68</v>
      </c>
      <c r="B86" s="96" t="s">
        <v>58</v>
      </c>
      <c r="C86" s="97">
        <v>244</v>
      </c>
      <c r="D86" s="97">
        <v>225</v>
      </c>
      <c r="E86" s="70">
        <f t="shared" si="6"/>
        <v>18700</v>
      </c>
      <c r="F86" s="56"/>
      <c r="G86" s="56"/>
      <c r="H86" s="56">
        <v>18700</v>
      </c>
      <c r="I86" s="93"/>
      <c r="J86" s="70"/>
      <c r="K86" s="70"/>
      <c r="L86" s="70"/>
      <c r="M86" s="70">
        <f t="shared" si="9"/>
        <v>0</v>
      </c>
      <c r="N86" s="70"/>
      <c r="O86" s="56"/>
      <c r="P86" s="56"/>
      <c r="Q86" s="56"/>
      <c r="R86" s="56"/>
      <c r="S86" s="56"/>
      <c r="T86" s="56"/>
      <c r="U86" s="70">
        <f t="shared" si="7"/>
        <v>18700</v>
      </c>
      <c r="V86" s="143">
        <f t="shared" si="88"/>
        <v>0</v>
      </c>
      <c r="W86" s="143">
        <f t="shared" si="88"/>
        <v>0</v>
      </c>
      <c r="X86" s="143">
        <f t="shared" si="88"/>
        <v>18700</v>
      </c>
      <c r="Y86" s="143"/>
      <c r="Z86" s="143">
        <f t="shared" si="89"/>
        <v>0</v>
      </c>
      <c r="AA86" s="143">
        <f t="shared" si="87"/>
        <v>0</v>
      </c>
      <c r="AB86" s="143">
        <f t="shared" si="18"/>
        <v>0</v>
      </c>
      <c r="AC86" s="116"/>
      <c r="AD86" s="98"/>
      <c r="AE86" s="98"/>
    </row>
    <row r="87" spans="1:31" s="38" customFormat="1" x14ac:dyDescent="0.25">
      <c r="A87" s="116" t="s">
        <v>69</v>
      </c>
      <c r="B87" s="96" t="s">
        <v>58</v>
      </c>
      <c r="C87" s="97">
        <v>244</v>
      </c>
      <c r="D87" s="97">
        <v>225</v>
      </c>
      <c r="E87" s="70">
        <f t="shared" ref="E87:E170" si="90">SUM(G87+H87+J87+K87+L87)+F87</f>
        <v>24924</v>
      </c>
      <c r="F87" s="56"/>
      <c r="G87" s="56"/>
      <c r="H87" s="56">
        <v>24924</v>
      </c>
      <c r="I87" s="93"/>
      <c r="J87" s="70"/>
      <c r="K87" s="70"/>
      <c r="L87" s="70"/>
      <c r="M87" s="70">
        <f t="shared" si="9"/>
        <v>0</v>
      </c>
      <c r="N87" s="70"/>
      <c r="O87" s="56"/>
      <c r="P87" s="56"/>
      <c r="Q87" s="56"/>
      <c r="R87" s="56"/>
      <c r="S87" s="56"/>
      <c r="T87" s="56"/>
      <c r="U87" s="70">
        <f t="shared" si="7"/>
        <v>24924</v>
      </c>
      <c r="V87" s="143">
        <f t="shared" si="88"/>
        <v>0</v>
      </c>
      <c r="W87" s="143">
        <f t="shared" si="88"/>
        <v>0</v>
      </c>
      <c r="X87" s="143">
        <f t="shared" si="88"/>
        <v>24924</v>
      </c>
      <c r="Y87" s="143"/>
      <c r="Z87" s="143">
        <f t="shared" si="89"/>
        <v>0</v>
      </c>
      <c r="AA87" s="143">
        <f t="shared" si="87"/>
        <v>0</v>
      </c>
      <c r="AB87" s="143">
        <f t="shared" si="18"/>
        <v>0</v>
      </c>
      <c r="AC87" s="116"/>
      <c r="AD87" s="98"/>
      <c r="AE87" s="98"/>
    </row>
    <row r="88" spans="1:31" s="38" customFormat="1" ht="25.5" x14ac:dyDescent="0.25">
      <c r="A88" s="116" t="s">
        <v>70</v>
      </c>
      <c r="B88" s="96" t="s">
        <v>58</v>
      </c>
      <c r="C88" s="97">
        <v>244</v>
      </c>
      <c r="D88" s="97">
        <v>225</v>
      </c>
      <c r="E88" s="70">
        <f t="shared" si="90"/>
        <v>8450</v>
      </c>
      <c r="F88" s="56"/>
      <c r="G88" s="56"/>
      <c r="H88" s="56">
        <v>8450</v>
      </c>
      <c r="I88" s="93"/>
      <c r="J88" s="70"/>
      <c r="K88" s="70"/>
      <c r="L88" s="70"/>
      <c r="M88" s="70">
        <f t="shared" ref="M88:M172" si="91">+O88+P88+R88+S88+T88</f>
        <v>0</v>
      </c>
      <c r="N88" s="70"/>
      <c r="O88" s="56"/>
      <c r="P88" s="56"/>
      <c r="Q88" s="56"/>
      <c r="R88" s="56"/>
      <c r="S88" s="56"/>
      <c r="T88" s="56"/>
      <c r="U88" s="70">
        <f t="shared" ref="U88:U172" si="92">V88+W88+X88+AB88+Z88+AA88</f>
        <v>8450</v>
      </c>
      <c r="V88" s="143">
        <f t="shared" si="88"/>
        <v>0</v>
      </c>
      <c r="W88" s="143">
        <f t="shared" si="88"/>
        <v>0</v>
      </c>
      <c r="X88" s="143">
        <f t="shared" si="88"/>
        <v>8450</v>
      </c>
      <c r="Y88" s="143"/>
      <c r="Z88" s="143">
        <f t="shared" si="89"/>
        <v>0</v>
      </c>
      <c r="AA88" s="143">
        <f t="shared" si="87"/>
        <v>0</v>
      </c>
      <c r="AB88" s="143">
        <f t="shared" si="18"/>
        <v>0</v>
      </c>
      <c r="AC88" s="116"/>
      <c r="AD88" s="98"/>
      <c r="AE88" s="98"/>
    </row>
    <row r="89" spans="1:31" s="38" customFormat="1" x14ac:dyDescent="0.25">
      <c r="A89" s="116" t="s">
        <v>71</v>
      </c>
      <c r="B89" s="96" t="s">
        <v>58</v>
      </c>
      <c r="C89" s="97">
        <v>244</v>
      </c>
      <c r="D89" s="97">
        <v>225</v>
      </c>
      <c r="E89" s="70">
        <f t="shared" si="90"/>
        <v>2712</v>
      </c>
      <c r="F89" s="56"/>
      <c r="G89" s="56"/>
      <c r="H89" s="56">
        <v>2712</v>
      </c>
      <c r="I89" s="93"/>
      <c r="J89" s="70"/>
      <c r="K89" s="70"/>
      <c r="L89" s="70"/>
      <c r="M89" s="70">
        <f t="shared" si="91"/>
        <v>0</v>
      </c>
      <c r="N89" s="70"/>
      <c r="O89" s="56"/>
      <c r="P89" s="56"/>
      <c r="Q89" s="56"/>
      <c r="R89" s="56"/>
      <c r="S89" s="56"/>
      <c r="T89" s="56"/>
      <c r="U89" s="70">
        <f t="shared" si="92"/>
        <v>2712</v>
      </c>
      <c r="V89" s="143">
        <f t="shared" si="88"/>
        <v>0</v>
      </c>
      <c r="W89" s="143">
        <f t="shared" si="88"/>
        <v>0</v>
      </c>
      <c r="X89" s="143">
        <f t="shared" si="88"/>
        <v>2712</v>
      </c>
      <c r="Y89" s="143"/>
      <c r="Z89" s="143">
        <f t="shared" si="89"/>
        <v>0</v>
      </c>
      <c r="AA89" s="143">
        <f t="shared" si="87"/>
        <v>0</v>
      </c>
      <c r="AB89" s="143">
        <f t="shared" si="18"/>
        <v>0</v>
      </c>
      <c r="AC89" s="116"/>
      <c r="AD89" s="98"/>
      <c r="AE89" s="98"/>
    </row>
    <row r="90" spans="1:31" s="38" customFormat="1" ht="102" x14ac:dyDescent="0.25">
      <c r="A90" s="116" t="s">
        <v>183</v>
      </c>
      <c r="B90" s="96" t="s">
        <v>58</v>
      </c>
      <c r="C90" s="97">
        <v>244</v>
      </c>
      <c r="D90" s="97">
        <v>225</v>
      </c>
      <c r="E90" s="70">
        <f t="shared" si="90"/>
        <v>0</v>
      </c>
      <c r="F90" s="56"/>
      <c r="G90" s="56"/>
      <c r="H90" s="56"/>
      <c r="I90" s="93"/>
      <c r="J90" s="70"/>
      <c r="K90" s="70"/>
      <c r="L90" s="70"/>
      <c r="M90" s="70">
        <f t="shared" si="91"/>
        <v>48600.62</v>
      </c>
      <c r="N90" s="70"/>
      <c r="O90" s="56"/>
      <c r="P90" s="56"/>
      <c r="Q90" s="148">
        <v>963324048</v>
      </c>
      <c r="R90" s="56"/>
      <c r="S90" s="56">
        <v>48600.62</v>
      </c>
      <c r="T90" s="56"/>
      <c r="U90" s="70">
        <f t="shared" si="92"/>
        <v>48600.62</v>
      </c>
      <c r="V90" s="143">
        <f t="shared" si="88"/>
        <v>0</v>
      </c>
      <c r="W90" s="143">
        <f t="shared" si="88"/>
        <v>0</v>
      </c>
      <c r="X90" s="143">
        <f t="shared" si="88"/>
        <v>0</v>
      </c>
      <c r="Y90" s="148">
        <v>963324048</v>
      </c>
      <c r="Z90" s="143">
        <f t="shared" si="89"/>
        <v>0</v>
      </c>
      <c r="AA90" s="143">
        <f t="shared" si="87"/>
        <v>48600.62</v>
      </c>
      <c r="AB90" s="143">
        <f t="shared" si="18"/>
        <v>0</v>
      </c>
      <c r="AC90" s="116" t="s">
        <v>173</v>
      </c>
      <c r="AD90" s="98"/>
      <c r="AE90" s="98"/>
    </row>
    <row r="91" spans="1:31" s="38" customFormat="1" ht="59.25" customHeight="1" x14ac:dyDescent="0.25">
      <c r="A91" s="116" t="s">
        <v>198</v>
      </c>
      <c r="B91" s="96" t="s">
        <v>58</v>
      </c>
      <c r="C91" s="97">
        <v>244</v>
      </c>
      <c r="D91" s="97">
        <v>225</v>
      </c>
      <c r="E91" s="70">
        <f t="shared" si="90"/>
        <v>15951</v>
      </c>
      <c r="F91" s="56"/>
      <c r="G91" s="56"/>
      <c r="H91" s="56">
        <v>15951</v>
      </c>
      <c r="I91" s="93"/>
      <c r="J91" s="70"/>
      <c r="K91" s="70"/>
      <c r="L91" s="70"/>
      <c r="M91" s="70">
        <f t="shared" si="91"/>
        <v>31302.32</v>
      </c>
      <c r="N91" s="70"/>
      <c r="O91" s="56"/>
      <c r="P91" s="56">
        <v>31302.32</v>
      </c>
      <c r="Q91" s="148"/>
      <c r="R91" s="56"/>
      <c r="S91" s="56"/>
      <c r="T91" s="56"/>
      <c r="U91" s="70">
        <f t="shared" si="92"/>
        <v>47253.32</v>
      </c>
      <c r="V91" s="143">
        <f t="shared" si="88"/>
        <v>0</v>
      </c>
      <c r="W91" s="143">
        <f t="shared" si="88"/>
        <v>0</v>
      </c>
      <c r="X91" s="143">
        <f t="shared" si="88"/>
        <v>47253.32</v>
      </c>
      <c r="Y91" s="143"/>
      <c r="Z91" s="143">
        <f t="shared" si="89"/>
        <v>0</v>
      </c>
      <c r="AA91" s="143">
        <f t="shared" si="87"/>
        <v>0</v>
      </c>
      <c r="AB91" s="143">
        <f t="shared" si="18"/>
        <v>0</v>
      </c>
      <c r="AC91" s="116"/>
      <c r="AD91" s="98"/>
      <c r="AE91" s="98"/>
    </row>
    <row r="92" spans="1:31" s="38" customFormat="1" ht="32.25" customHeight="1" x14ac:dyDescent="0.25">
      <c r="A92" s="116" t="s">
        <v>133</v>
      </c>
      <c r="B92" s="96" t="s">
        <v>58</v>
      </c>
      <c r="C92" s="97">
        <v>244</v>
      </c>
      <c r="D92" s="97">
        <v>225</v>
      </c>
      <c r="E92" s="70">
        <f t="shared" si="90"/>
        <v>11000</v>
      </c>
      <c r="F92" s="56"/>
      <c r="G92" s="56"/>
      <c r="H92" s="56">
        <v>11000</v>
      </c>
      <c r="I92" s="93"/>
      <c r="J92" s="70"/>
      <c r="K92" s="70"/>
      <c r="L92" s="70"/>
      <c r="M92" s="70">
        <f t="shared" si="91"/>
        <v>0</v>
      </c>
      <c r="N92" s="70"/>
      <c r="O92" s="56"/>
      <c r="P92" s="56"/>
      <c r="Q92" s="148"/>
      <c r="R92" s="56"/>
      <c r="S92" s="56"/>
      <c r="T92" s="56"/>
      <c r="U92" s="70">
        <f t="shared" si="92"/>
        <v>11000</v>
      </c>
      <c r="V92" s="143">
        <f t="shared" si="88"/>
        <v>0</v>
      </c>
      <c r="W92" s="143">
        <f t="shared" si="88"/>
        <v>0</v>
      </c>
      <c r="X92" s="143">
        <f t="shared" si="88"/>
        <v>11000</v>
      </c>
      <c r="Y92" s="143"/>
      <c r="Z92" s="143">
        <f t="shared" si="89"/>
        <v>0</v>
      </c>
      <c r="AA92" s="143">
        <f t="shared" si="87"/>
        <v>0</v>
      </c>
      <c r="AB92" s="143">
        <f t="shared" si="18"/>
        <v>0</v>
      </c>
      <c r="AC92" s="116"/>
      <c r="AD92" s="98"/>
      <c r="AE92" s="98"/>
    </row>
    <row r="93" spans="1:31" s="38" customFormat="1" ht="32.25" customHeight="1" x14ac:dyDescent="0.25">
      <c r="A93" s="116" t="s">
        <v>134</v>
      </c>
      <c r="B93" s="96" t="s">
        <v>58</v>
      </c>
      <c r="C93" s="97">
        <v>244</v>
      </c>
      <c r="D93" s="97">
        <v>225</v>
      </c>
      <c r="E93" s="70">
        <f t="shared" si="90"/>
        <v>29690</v>
      </c>
      <c r="F93" s="56"/>
      <c r="G93" s="56"/>
      <c r="H93" s="56">
        <v>29690</v>
      </c>
      <c r="I93" s="93"/>
      <c r="J93" s="70"/>
      <c r="K93" s="70"/>
      <c r="L93" s="70"/>
      <c r="M93" s="70">
        <f t="shared" si="91"/>
        <v>0</v>
      </c>
      <c r="N93" s="70"/>
      <c r="O93" s="56"/>
      <c r="P93" s="56"/>
      <c r="Q93" s="148"/>
      <c r="R93" s="56"/>
      <c r="S93" s="56"/>
      <c r="T93" s="56"/>
      <c r="U93" s="70">
        <f t="shared" si="92"/>
        <v>29690</v>
      </c>
      <c r="V93" s="143">
        <f t="shared" si="88"/>
        <v>0</v>
      </c>
      <c r="W93" s="143">
        <f t="shared" si="88"/>
        <v>0</v>
      </c>
      <c r="X93" s="143">
        <f t="shared" si="88"/>
        <v>29690</v>
      </c>
      <c r="Y93" s="143"/>
      <c r="Z93" s="143">
        <f t="shared" si="89"/>
        <v>0</v>
      </c>
      <c r="AA93" s="143">
        <f t="shared" si="87"/>
        <v>0</v>
      </c>
      <c r="AB93" s="143">
        <f t="shared" si="18"/>
        <v>0</v>
      </c>
      <c r="AC93" s="116"/>
      <c r="AD93" s="98"/>
      <c r="AE93" s="98"/>
    </row>
    <row r="94" spans="1:31" s="38" customFormat="1" ht="34.5" customHeight="1" x14ac:dyDescent="0.25">
      <c r="A94" s="116" t="s">
        <v>150</v>
      </c>
      <c r="B94" s="96" t="s">
        <v>58</v>
      </c>
      <c r="C94" s="97">
        <v>243</v>
      </c>
      <c r="D94" s="97">
        <v>225</v>
      </c>
      <c r="E94" s="70">
        <f t="shared" si="90"/>
        <v>8113680.4000000004</v>
      </c>
      <c r="F94" s="56"/>
      <c r="G94" s="56"/>
      <c r="H94" s="56"/>
      <c r="I94" s="93">
        <v>963324005</v>
      </c>
      <c r="J94" s="70"/>
      <c r="K94" s="70">
        <f>K25</f>
        <v>8113680.4000000004</v>
      </c>
      <c r="L94" s="70"/>
      <c r="M94" s="70">
        <f t="shared" si="91"/>
        <v>-8113680.4000000004</v>
      </c>
      <c r="N94" s="70"/>
      <c r="O94" s="56"/>
      <c r="P94" s="56"/>
      <c r="Q94" s="148">
        <v>963324005</v>
      </c>
      <c r="R94" s="56"/>
      <c r="S94" s="56">
        <v>-8113680.4000000004</v>
      </c>
      <c r="T94" s="56"/>
      <c r="U94" s="70">
        <f t="shared" si="92"/>
        <v>0</v>
      </c>
      <c r="V94" s="143">
        <f t="shared" si="88"/>
        <v>0</v>
      </c>
      <c r="W94" s="143">
        <f t="shared" si="88"/>
        <v>0</v>
      </c>
      <c r="X94" s="143">
        <f t="shared" si="88"/>
        <v>0</v>
      </c>
      <c r="Y94" s="143"/>
      <c r="Z94" s="143">
        <f t="shared" si="89"/>
        <v>0</v>
      </c>
      <c r="AA94" s="143">
        <f t="shared" si="87"/>
        <v>0</v>
      </c>
      <c r="AB94" s="143">
        <f t="shared" si="18"/>
        <v>0</v>
      </c>
      <c r="AC94" s="116"/>
      <c r="AD94" s="98"/>
      <c r="AE94" s="98"/>
    </row>
    <row r="95" spans="1:31" s="38" customFormat="1" ht="34.5" customHeight="1" x14ac:dyDescent="0.25">
      <c r="A95" s="116" t="s">
        <v>65</v>
      </c>
      <c r="B95" s="96" t="s">
        <v>56</v>
      </c>
      <c r="C95" s="97">
        <v>244</v>
      </c>
      <c r="D95" s="97">
        <v>225</v>
      </c>
      <c r="E95" s="70">
        <f t="shared" si="90"/>
        <v>23460</v>
      </c>
      <c r="F95" s="56"/>
      <c r="G95" s="56"/>
      <c r="H95" s="56">
        <v>23460</v>
      </c>
      <c r="I95" s="93"/>
      <c r="J95" s="70"/>
      <c r="K95" s="70"/>
      <c r="L95" s="70"/>
      <c r="M95" s="70">
        <f t="shared" si="91"/>
        <v>0</v>
      </c>
      <c r="N95" s="70"/>
      <c r="O95" s="56"/>
      <c r="P95" s="56"/>
      <c r="Q95" s="148"/>
      <c r="R95" s="56"/>
      <c r="S95" s="56"/>
      <c r="T95" s="56"/>
      <c r="U95" s="70">
        <f t="shared" si="92"/>
        <v>23460</v>
      </c>
      <c r="V95" s="143">
        <f t="shared" si="88"/>
        <v>0</v>
      </c>
      <c r="W95" s="143">
        <f t="shared" si="88"/>
        <v>0</v>
      </c>
      <c r="X95" s="143">
        <f t="shared" si="88"/>
        <v>23460</v>
      </c>
      <c r="Y95" s="143">
        <v>963323052</v>
      </c>
      <c r="Z95" s="143">
        <f t="shared" si="89"/>
        <v>0</v>
      </c>
      <c r="AA95" s="143">
        <f t="shared" si="87"/>
        <v>0</v>
      </c>
      <c r="AB95" s="143">
        <f t="shared" si="18"/>
        <v>0</v>
      </c>
      <c r="AC95" s="116"/>
      <c r="AD95" s="98"/>
      <c r="AE95" s="98"/>
    </row>
    <row r="96" spans="1:31" s="38" customFormat="1" ht="25.5" customHeight="1" x14ac:dyDescent="0.25">
      <c r="A96" s="116" t="s">
        <v>67</v>
      </c>
      <c r="B96" s="96" t="s">
        <v>56</v>
      </c>
      <c r="C96" s="97">
        <v>244</v>
      </c>
      <c r="D96" s="97">
        <v>225</v>
      </c>
      <c r="E96" s="70">
        <f t="shared" si="90"/>
        <v>38028</v>
      </c>
      <c r="F96" s="56"/>
      <c r="G96" s="56"/>
      <c r="H96" s="56">
        <v>38028</v>
      </c>
      <c r="I96" s="93"/>
      <c r="J96" s="70"/>
      <c r="K96" s="70"/>
      <c r="L96" s="70"/>
      <c r="M96" s="70">
        <f t="shared" si="91"/>
        <v>0</v>
      </c>
      <c r="N96" s="70"/>
      <c r="O96" s="56"/>
      <c r="P96" s="56"/>
      <c r="Q96" s="148"/>
      <c r="R96" s="56"/>
      <c r="S96" s="56"/>
      <c r="T96" s="56"/>
      <c r="U96" s="70">
        <f t="shared" si="92"/>
        <v>38028</v>
      </c>
      <c r="V96" s="143">
        <f t="shared" si="88"/>
        <v>0</v>
      </c>
      <c r="W96" s="143">
        <f t="shared" si="88"/>
        <v>0</v>
      </c>
      <c r="X96" s="136">
        <f>H96+P96</f>
        <v>38028</v>
      </c>
      <c r="Y96" s="143"/>
      <c r="Z96" s="143">
        <f t="shared" si="89"/>
        <v>0</v>
      </c>
      <c r="AA96" s="143">
        <f t="shared" si="87"/>
        <v>0</v>
      </c>
      <c r="AB96" s="143">
        <f t="shared" si="18"/>
        <v>0</v>
      </c>
      <c r="AC96" s="116"/>
      <c r="AD96" s="98"/>
      <c r="AE96" s="98"/>
    </row>
    <row r="97" spans="1:31" s="38" customFormat="1" ht="39.75" customHeight="1" x14ac:dyDescent="0.25">
      <c r="A97" s="116" t="s">
        <v>196</v>
      </c>
      <c r="B97" s="96" t="s">
        <v>56</v>
      </c>
      <c r="C97" s="97">
        <v>244</v>
      </c>
      <c r="D97" s="97">
        <v>225</v>
      </c>
      <c r="E97" s="70">
        <f t="shared" si="90"/>
        <v>0</v>
      </c>
      <c r="F97" s="56"/>
      <c r="G97" s="56"/>
      <c r="H97" s="56"/>
      <c r="I97" s="93"/>
      <c r="J97" s="70"/>
      <c r="K97" s="70"/>
      <c r="L97" s="70"/>
      <c r="M97" s="70">
        <f>+O97+P97+R97+S97+T97</f>
        <v>28493.85</v>
      </c>
      <c r="N97" s="70"/>
      <c r="O97" s="56"/>
      <c r="P97" s="56">
        <v>28493.85</v>
      </c>
      <c r="Q97" s="148"/>
      <c r="R97" s="56"/>
      <c r="S97" s="56"/>
      <c r="T97" s="56"/>
      <c r="U97" s="70">
        <f t="shared" si="92"/>
        <v>28493.85</v>
      </c>
      <c r="V97" s="143">
        <f t="shared" si="88"/>
        <v>0</v>
      </c>
      <c r="W97" s="143">
        <f t="shared" si="88"/>
        <v>0</v>
      </c>
      <c r="X97" s="143">
        <f t="shared" si="88"/>
        <v>28493.85</v>
      </c>
      <c r="Y97" s="143"/>
      <c r="Z97" s="143">
        <f t="shared" si="89"/>
        <v>0</v>
      </c>
      <c r="AA97" s="143">
        <f t="shared" si="87"/>
        <v>0</v>
      </c>
      <c r="AB97" s="143">
        <f t="shared" si="18"/>
        <v>0</v>
      </c>
      <c r="AC97" s="116"/>
      <c r="AD97" s="98"/>
      <c r="AE97" s="98"/>
    </row>
    <row r="98" spans="1:31" s="38" customFormat="1" x14ac:dyDescent="0.25">
      <c r="A98" s="116" t="s">
        <v>69</v>
      </c>
      <c r="B98" s="96" t="s">
        <v>56</v>
      </c>
      <c r="C98" s="97">
        <v>244</v>
      </c>
      <c r="D98" s="97">
        <v>225</v>
      </c>
      <c r="E98" s="70">
        <f t="shared" si="90"/>
        <v>32544.04</v>
      </c>
      <c r="F98" s="56"/>
      <c r="G98" s="56"/>
      <c r="H98" s="56">
        <v>32544.04</v>
      </c>
      <c r="I98" s="93"/>
      <c r="J98" s="70"/>
      <c r="K98" s="70"/>
      <c r="L98" s="70"/>
      <c r="M98" s="70">
        <f t="shared" si="91"/>
        <v>0</v>
      </c>
      <c r="N98" s="70"/>
      <c r="O98" s="56"/>
      <c r="P98" s="56"/>
      <c r="Q98" s="148"/>
      <c r="R98" s="56"/>
      <c r="S98" s="56"/>
      <c r="T98" s="56"/>
      <c r="U98" s="70">
        <f t="shared" si="92"/>
        <v>32544.04</v>
      </c>
      <c r="V98" s="143">
        <f t="shared" si="88"/>
        <v>0</v>
      </c>
      <c r="W98" s="143">
        <f t="shared" si="88"/>
        <v>0</v>
      </c>
      <c r="X98" s="143">
        <f t="shared" si="88"/>
        <v>32544.04</v>
      </c>
      <c r="Y98" s="143"/>
      <c r="Z98" s="143">
        <f t="shared" si="89"/>
        <v>0</v>
      </c>
      <c r="AA98" s="143">
        <f t="shared" si="87"/>
        <v>0</v>
      </c>
      <c r="AB98" s="143">
        <f t="shared" si="18"/>
        <v>0</v>
      </c>
      <c r="AC98" s="116"/>
      <c r="AD98" s="98"/>
      <c r="AE98" s="98"/>
    </row>
    <row r="99" spans="1:31" s="38" customFormat="1" ht="38.25" x14ac:dyDescent="0.25">
      <c r="A99" s="116" t="s">
        <v>147</v>
      </c>
      <c r="B99" s="96" t="s">
        <v>56</v>
      </c>
      <c r="C99" s="97">
        <v>244</v>
      </c>
      <c r="D99" s="97">
        <v>225</v>
      </c>
      <c r="E99" s="70">
        <f t="shared" si="90"/>
        <v>10028.34</v>
      </c>
      <c r="F99" s="56"/>
      <c r="G99" s="56"/>
      <c r="H99" s="56">
        <v>10028.34</v>
      </c>
      <c r="I99" s="93"/>
      <c r="J99" s="70"/>
      <c r="K99" s="70"/>
      <c r="L99" s="70"/>
      <c r="M99" s="70">
        <f t="shared" si="91"/>
        <v>0</v>
      </c>
      <c r="N99" s="70"/>
      <c r="O99" s="56"/>
      <c r="P99" s="56"/>
      <c r="Q99" s="148"/>
      <c r="R99" s="56"/>
      <c r="S99" s="56"/>
      <c r="T99" s="56"/>
      <c r="U99" s="70">
        <f t="shared" si="92"/>
        <v>10028.34</v>
      </c>
      <c r="V99" s="143">
        <f t="shared" si="88"/>
        <v>0</v>
      </c>
      <c r="W99" s="143">
        <f t="shared" si="88"/>
        <v>0</v>
      </c>
      <c r="X99" s="143">
        <f t="shared" si="88"/>
        <v>10028.34</v>
      </c>
      <c r="Y99" s="143"/>
      <c r="Z99" s="143">
        <f t="shared" si="89"/>
        <v>0</v>
      </c>
      <c r="AA99" s="143">
        <f t="shared" si="87"/>
        <v>0</v>
      </c>
      <c r="AB99" s="143">
        <f t="shared" si="18"/>
        <v>0</v>
      </c>
      <c r="AC99" s="116"/>
      <c r="AD99" s="98"/>
      <c r="AE99" s="98"/>
    </row>
    <row r="100" spans="1:31" s="38" customFormat="1" ht="51" customHeight="1" x14ac:dyDescent="0.25">
      <c r="A100" s="116" t="s">
        <v>134</v>
      </c>
      <c r="B100" s="96" t="s">
        <v>56</v>
      </c>
      <c r="C100" s="97">
        <v>244</v>
      </c>
      <c r="D100" s="97">
        <v>225</v>
      </c>
      <c r="E100" s="70">
        <f t="shared" ref="E100" si="93">SUM(G100+H100+J100+K100+L100)+F100</f>
        <v>10840</v>
      </c>
      <c r="F100" s="56"/>
      <c r="G100" s="56"/>
      <c r="H100" s="56">
        <v>10840</v>
      </c>
      <c r="I100" s="93"/>
      <c r="J100" s="70"/>
      <c r="K100" s="70"/>
      <c r="L100" s="70"/>
      <c r="M100" s="70">
        <f t="shared" si="91"/>
        <v>0</v>
      </c>
      <c r="N100" s="70"/>
      <c r="O100" s="56"/>
      <c r="P100" s="56"/>
      <c r="Q100" s="148"/>
      <c r="R100" s="56"/>
      <c r="S100" s="56"/>
      <c r="T100" s="56"/>
      <c r="U100" s="70">
        <f t="shared" si="92"/>
        <v>10840</v>
      </c>
      <c r="V100" s="143">
        <f t="shared" si="88"/>
        <v>0</v>
      </c>
      <c r="W100" s="143">
        <f t="shared" si="88"/>
        <v>0</v>
      </c>
      <c r="X100" s="143">
        <f t="shared" si="88"/>
        <v>10840</v>
      </c>
      <c r="Y100" s="143"/>
      <c r="Z100" s="143">
        <f t="shared" si="89"/>
        <v>0</v>
      </c>
      <c r="AA100" s="143">
        <f t="shared" si="87"/>
        <v>0</v>
      </c>
      <c r="AB100" s="143">
        <f t="shared" si="18"/>
        <v>0</v>
      </c>
      <c r="AC100" s="116"/>
      <c r="AD100" s="98"/>
      <c r="AE100" s="98"/>
    </row>
    <row r="101" spans="1:31" s="38" customFormat="1" x14ac:dyDescent="0.25">
      <c r="A101" s="116" t="s">
        <v>118</v>
      </c>
      <c r="B101" s="96" t="s">
        <v>56</v>
      </c>
      <c r="C101" s="97">
        <v>244</v>
      </c>
      <c r="D101" s="97">
        <v>225</v>
      </c>
      <c r="E101" s="70">
        <f t="shared" si="90"/>
        <v>35378</v>
      </c>
      <c r="F101" s="56"/>
      <c r="G101" s="56"/>
      <c r="H101" s="56">
        <f>20100+45278-30000</f>
        <v>35378</v>
      </c>
      <c r="I101" s="93"/>
      <c r="J101" s="70"/>
      <c r="K101" s="70"/>
      <c r="L101" s="70"/>
      <c r="M101" s="70">
        <f t="shared" si="91"/>
        <v>0</v>
      </c>
      <c r="N101" s="70"/>
      <c r="O101" s="56"/>
      <c r="P101" s="56"/>
      <c r="Q101" s="148"/>
      <c r="R101" s="56"/>
      <c r="S101" s="56"/>
      <c r="T101" s="56"/>
      <c r="U101" s="70">
        <f t="shared" si="92"/>
        <v>35378</v>
      </c>
      <c r="V101" s="143">
        <f t="shared" si="88"/>
        <v>0</v>
      </c>
      <c r="W101" s="143">
        <f t="shared" si="88"/>
        <v>0</v>
      </c>
      <c r="X101" s="143">
        <f t="shared" si="88"/>
        <v>35378</v>
      </c>
      <c r="Y101" s="143"/>
      <c r="Z101" s="143">
        <f t="shared" si="89"/>
        <v>0</v>
      </c>
      <c r="AA101" s="143">
        <f t="shared" si="87"/>
        <v>0</v>
      </c>
      <c r="AB101" s="143">
        <f t="shared" si="18"/>
        <v>0</v>
      </c>
      <c r="AC101" s="116"/>
      <c r="AD101" s="98"/>
      <c r="AE101" s="98"/>
    </row>
    <row r="102" spans="1:31" s="38" customFormat="1" ht="23.25" customHeight="1" x14ac:dyDescent="0.25">
      <c r="A102" s="116" t="s">
        <v>149</v>
      </c>
      <c r="B102" s="96" t="s">
        <v>56</v>
      </c>
      <c r="C102" s="97">
        <v>243</v>
      </c>
      <c r="D102" s="97">
        <v>225</v>
      </c>
      <c r="E102" s="70">
        <f t="shared" si="90"/>
        <v>4947430.5999999996</v>
      </c>
      <c r="F102" s="56"/>
      <c r="G102" s="56"/>
      <c r="H102" s="56"/>
      <c r="I102" s="93">
        <v>963324005</v>
      </c>
      <c r="J102" s="70"/>
      <c r="K102" s="70">
        <f>K24</f>
        <v>4947430.5999999996</v>
      </c>
      <c r="L102" s="70"/>
      <c r="M102" s="70">
        <f>+O102+P102+R102+S102+T102</f>
        <v>-4947430.5999999996</v>
      </c>
      <c r="N102" s="70"/>
      <c r="O102" s="56"/>
      <c r="P102" s="56"/>
      <c r="Q102" s="148">
        <v>963324005</v>
      </c>
      <c r="R102" s="56"/>
      <c r="S102" s="56">
        <v>-4947430.5999999996</v>
      </c>
      <c r="T102" s="56"/>
      <c r="U102" s="70">
        <f t="shared" si="92"/>
        <v>0</v>
      </c>
      <c r="V102" s="143">
        <f t="shared" si="88"/>
        <v>0</v>
      </c>
      <c r="W102" s="143">
        <f t="shared" si="88"/>
        <v>0</v>
      </c>
      <c r="X102" s="143">
        <f t="shared" si="88"/>
        <v>0</v>
      </c>
      <c r="Y102" s="143"/>
      <c r="Z102" s="143">
        <f t="shared" si="89"/>
        <v>0</v>
      </c>
      <c r="AA102" s="143">
        <f t="shared" si="87"/>
        <v>0</v>
      </c>
      <c r="AB102" s="143">
        <f t="shared" si="18"/>
        <v>0</v>
      </c>
      <c r="AC102" s="116"/>
      <c r="AD102" s="98"/>
      <c r="AE102" s="98"/>
    </row>
    <row r="103" spans="1:31" s="38" customFormat="1" ht="26.25" customHeight="1" x14ac:dyDescent="0.25">
      <c r="A103" s="116" t="s">
        <v>110</v>
      </c>
      <c r="B103" s="96" t="s">
        <v>58</v>
      </c>
      <c r="C103" s="97">
        <v>244</v>
      </c>
      <c r="D103" s="97">
        <v>225</v>
      </c>
      <c r="E103" s="70">
        <f t="shared" si="90"/>
        <v>18630</v>
      </c>
      <c r="F103" s="56"/>
      <c r="G103" s="56"/>
      <c r="H103" s="56">
        <v>18630</v>
      </c>
      <c r="I103" s="93"/>
      <c r="J103" s="70"/>
      <c r="K103" s="70"/>
      <c r="L103" s="70"/>
      <c r="M103" s="70">
        <f t="shared" si="91"/>
        <v>0</v>
      </c>
      <c r="N103" s="70"/>
      <c r="O103" s="56"/>
      <c r="P103" s="56"/>
      <c r="Q103" s="56"/>
      <c r="R103" s="56"/>
      <c r="S103" s="56"/>
      <c r="T103" s="56"/>
      <c r="U103" s="70">
        <f t="shared" si="92"/>
        <v>18630</v>
      </c>
      <c r="V103" s="143">
        <f t="shared" si="88"/>
        <v>0</v>
      </c>
      <c r="W103" s="143">
        <f t="shared" si="88"/>
        <v>0</v>
      </c>
      <c r="X103" s="143">
        <f t="shared" si="88"/>
        <v>18630</v>
      </c>
      <c r="Y103" s="143"/>
      <c r="Z103" s="143">
        <f t="shared" si="89"/>
        <v>0</v>
      </c>
      <c r="AA103" s="143">
        <f t="shared" si="87"/>
        <v>0</v>
      </c>
      <c r="AB103" s="143">
        <f t="shared" si="87"/>
        <v>0</v>
      </c>
      <c r="AC103" s="116"/>
      <c r="AD103" s="98"/>
      <c r="AE103" s="98"/>
    </row>
    <row r="104" spans="1:31" s="38" customFormat="1" ht="42" customHeight="1" x14ac:dyDescent="0.25">
      <c r="A104" s="116" t="s">
        <v>131</v>
      </c>
      <c r="B104" s="96" t="s">
        <v>56</v>
      </c>
      <c r="C104" s="97">
        <v>244</v>
      </c>
      <c r="D104" s="97">
        <v>225</v>
      </c>
      <c r="E104" s="70">
        <f t="shared" si="90"/>
        <v>2712</v>
      </c>
      <c r="F104" s="56"/>
      <c r="G104" s="56"/>
      <c r="H104" s="56">
        <v>2712</v>
      </c>
      <c r="I104" s="93"/>
      <c r="J104" s="70"/>
      <c r="K104" s="70"/>
      <c r="L104" s="70"/>
      <c r="M104" s="70">
        <f t="shared" si="91"/>
        <v>0</v>
      </c>
      <c r="N104" s="70"/>
      <c r="O104" s="56"/>
      <c r="P104" s="56"/>
      <c r="Q104" s="56"/>
      <c r="R104" s="56"/>
      <c r="S104" s="56"/>
      <c r="T104" s="56"/>
      <c r="U104" s="70">
        <f t="shared" si="92"/>
        <v>2712</v>
      </c>
      <c r="V104" s="143">
        <f t="shared" si="88"/>
        <v>0</v>
      </c>
      <c r="W104" s="143">
        <f t="shared" si="88"/>
        <v>0</v>
      </c>
      <c r="X104" s="143">
        <f t="shared" si="88"/>
        <v>2712</v>
      </c>
      <c r="Y104" s="143"/>
      <c r="Z104" s="143">
        <f t="shared" si="89"/>
        <v>0</v>
      </c>
      <c r="AA104" s="143">
        <f t="shared" si="87"/>
        <v>0</v>
      </c>
      <c r="AB104" s="143">
        <f t="shared" si="87"/>
        <v>0</v>
      </c>
      <c r="AC104" s="116"/>
      <c r="AD104" s="98"/>
      <c r="AE104" s="98"/>
    </row>
    <row r="105" spans="1:31" s="38" customFormat="1" ht="48.75" customHeight="1" x14ac:dyDescent="0.25">
      <c r="A105" s="116" t="s">
        <v>102</v>
      </c>
      <c r="B105" s="96" t="s">
        <v>56</v>
      </c>
      <c r="C105" s="97">
        <v>244</v>
      </c>
      <c r="D105" s="97">
        <v>225</v>
      </c>
      <c r="E105" s="70">
        <f t="shared" si="90"/>
        <v>16491.599999999999</v>
      </c>
      <c r="F105" s="56"/>
      <c r="G105" s="56"/>
      <c r="H105" s="56">
        <v>16491.599999999999</v>
      </c>
      <c r="I105" s="93"/>
      <c r="J105" s="70"/>
      <c r="K105" s="70"/>
      <c r="L105" s="70"/>
      <c r="M105" s="70">
        <f t="shared" si="91"/>
        <v>0</v>
      </c>
      <c r="N105" s="70"/>
      <c r="O105" s="56"/>
      <c r="P105" s="56"/>
      <c r="Q105" s="56"/>
      <c r="R105" s="56"/>
      <c r="S105" s="56"/>
      <c r="T105" s="56"/>
      <c r="U105" s="70">
        <f t="shared" si="92"/>
        <v>16491.599999999999</v>
      </c>
      <c r="V105" s="143">
        <f t="shared" si="88"/>
        <v>0</v>
      </c>
      <c r="W105" s="143">
        <f t="shared" si="88"/>
        <v>0</v>
      </c>
      <c r="X105" s="143">
        <f t="shared" si="88"/>
        <v>16491.599999999999</v>
      </c>
      <c r="Y105" s="143"/>
      <c r="Z105" s="143">
        <f t="shared" si="89"/>
        <v>0</v>
      </c>
      <c r="AA105" s="143">
        <f t="shared" si="87"/>
        <v>0</v>
      </c>
      <c r="AB105" s="143">
        <f t="shared" si="87"/>
        <v>0</v>
      </c>
      <c r="AC105" s="116"/>
      <c r="AD105" s="98"/>
      <c r="AE105" s="98"/>
    </row>
    <row r="106" spans="1:31" s="38" customFormat="1" ht="61.5" customHeight="1" x14ac:dyDescent="0.25">
      <c r="A106" s="116" t="s">
        <v>105</v>
      </c>
      <c r="B106" s="96" t="s">
        <v>56</v>
      </c>
      <c r="C106" s="97">
        <v>244</v>
      </c>
      <c r="D106" s="97">
        <v>225</v>
      </c>
      <c r="E106" s="70">
        <f t="shared" si="90"/>
        <v>39500</v>
      </c>
      <c r="F106" s="56"/>
      <c r="G106" s="56"/>
      <c r="H106" s="56">
        <f>3000+1500+35000</f>
        <v>39500</v>
      </c>
      <c r="I106" s="93"/>
      <c r="J106" s="70"/>
      <c r="K106" s="70"/>
      <c r="L106" s="70"/>
      <c r="M106" s="70">
        <f t="shared" si="91"/>
        <v>0</v>
      </c>
      <c r="N106" s="70"/>
      <c r="O106" s="56"/>
      <c r="P106" s="56"/>
      <c r="Q106" s="56"/>
      <c r="R106" s="56"/>
      <c r="S106" s="56"/>
      <c r="T106" s="56"/>
      <c r="U106" s="70">
        <f t="shared" si="92"/>
        <v>39500</v>
      </c>
      <c r="V106" s="143">
        <f t="shared" si="88"/>
        <v>0</v>
      </c>
      <c r="W106" s="143">
        <f t="shared" si="88"/>
        <v>0</v>
      </c>
      <c r="X106" s="143">
        <f t="shared" si="88"/>
        <v>39500</v>
      </c>
      <c r="Y106" s="143"/>
      <c r="Z106" s="143">
        <f t="shared" si="89"/>
        <v>0</v>
      </c>
      <c r="AA106" s="143">
        <f t="shared" si="87"/>
        <v>0</v>
      </c>
      <c r="AB106" s="143">
        <f t="shared" si="87"/>
        <v>0</v>
      </c>
      <c r="AC106" s="116"/>
      <c r="AD106" s="98"/>
      <c r="AE106" s="98"/>
    </row>
    <row r="107" spans="1:31" s="38" customFormat="1" ht="48.75" customHeight="1" x14ac:dyDescent="0.25">
      <c r="A107" s="116" t="s">
        <v>103</v>
      </c>
      <c r="B107" s="96" t="s">
        <v>56</v>
      </c>
      <c r="C107" s="97">
        <v>244</v>
      </c>
      <c r="D107" s="97">
        <v>225</v>
      </c>
      <c r="E107" s="70">
        <f t="shared" ref="E107" si="94">SUM(G107+H107+J107+K107+L107)+F107</f>
        <v>49200</v>
      </c>
      <c r="F107" s="56"/>
      <c r="G107" s="56"/>
      <c r="H107" s="56">
        <v>49200</v>
      </c>
      <c r="I107" s="93"/>
      <c r="J107" s="70"/>
      <c r="K107" s="70"/>
      <c r="L107" s="70"/>
      <c r="M107" s="70">
        <f t="shared" ref="M107" si="95">+O107+P107+R107+S107+T107</f>
        <v>0</v>
      </c>
      <c r="N107" s="70"/>
      <c r="O107" s="56"/>
      <c r="P107" s="56"/>
      <c r="Q107" s="56"/>
      <c r="R107" s="56"/>
      <c r="S107" s="56"/>
      <c r="T107" s="56"/>
      <c r="U107" s="70">
        <f t="shared" ref="U107" si="96">V107+W107+X107+AB107+Z107+AA107</f>
        <v>49200</v>
      </c>
      <c r="V107" s="143">
        <f t="shared" ref="V107" si="97">F107+N107</f>
        <v>0</v>
      </c>
      <c r="W107" s="143">
        <f t="shared" ref="W107" si="98">G107+O107</f>
        <v>0</v>
      </c>
      <c r="X107" s="143">
        <f t="shared" ref="X107" si="99">H107+P107</f>
        <v>49200</v>
      </c>
      <c r="Y107" s="143"/>
      <c r="Z107" s="143">
        <f t="shared" ref="Z107" si="100">J107+R107</f>
        <v>0</v>
      </c>
      <c r="AA107" s="143">
        <f t="shared" ref="AA107" si="101">K107+S107</f>
        <v>0</v>
      </c>
      <c r="AB107" s="143">
        <f t="shared" ref="AB107" si="102">L107+T107</f>
        <v>0</v>
      </c>
      <c r="AC107" s="116"/>
      <c r="AD107" s="98"/>
      <c r="AE107" s="98"/>
    </row>
    <row r="108" spans="1:31" s="38" customFormat="1" ht="48.75" customHeight="1" x14ac:dyDescent="0.25">
      <c r="A108" s="116" t="s">
        <v>156</v>
      </c>
      <c r="B108" s="96" t="s">
        <v>56</v>
      </c>
      <c r="C108" s="97">
        <v>244</v>
      </c>
      <c r="D108" s="97">
        <v>225</v>
      </c>
      <c r="E108" s="70">
        <f t="shared" si="90"/>
        <v>46498.8</v>
      </c>
      <c r="F108" s="56"/>
      <c r="G108" s="56"/>
      <c r="H108" s="56">
        <v>46498.8</v>
      </c>
      <c r="I108" s="93"/>
      <c r="J108" s="70"/>
      <c r="K108" s="70"/>
      <c r="L108" s="70"/>
      <c r="M108" s="70">
        <f t="shared" si="91"/>
        <v>0</v>
      </c>
      <c r="N108" s="70"/>
      <c r="O108" s="56"/>
      <c r="P108" s="56"/>
      <c r="Q108" s="56"/>
      <c r="R108" s="56"/>
      <c r="S108" s="56"/>
      <c r="T108" s="56"/>
      <c r="U108" s="70">
        <f t="shared" si="92"/>
        <v>46498.8</v>
      </c>
      <c r="V108" s="143">
        <f t="shared" si="88"/>
        <v>0</v>
      </c>
      <c r="W108" s="143">
        <f t="shared" si="88"/>
        <v>0</v>
      </c>
      <c r="X108" s="143">
        <f t="shared" si="88"/>
        <v>46498.8</v>
      </c>
      <c r="Y108" s="143"/>
      <c r="Z108" s="143">
        <f t="shared" si="89"/>
        <v>0</v>
      </c>
      <c r="AA108" s="143">
        <f t="shared" si="87"/>
        <v>0</v>
      </c>
      <c r="AB108" s="143">
        <f t="shared" si="87"/>
        <v>0</v>
      </c>
      <c r="AC108" s="116"/>
      <c r="AD108" s="98"/>
      <c r="AE108" s="98"/>
    </row>
    <row r="109" spans="1:31" s="38" customFormat="1" ht="30.75" customHeight="1" x14ac:dyDescent="0.25">
      <c r="A109" s="116" t="s">
        <v>130</v>
      </c>
      <c r="B109" s="96" t="s">
        <v>56</v>
      </c>
      <c r="C109" s="97">
        <v>244</v>
      </c>
      <c r="D109" s="97">
        <v>225</v>
      </c>
      <c r="E109" s="70">
        <f t="shared" si="90"/>
        <v>12000</v>
      </c>
      <c r="F109" s="56"/>
      <c r="G109" s="56"/>
      <c r="H109" s="56">
        <v>12000</v>
      </c>
      <c r="I109" s="93"/>
      <c r="J109" s="70"/>
      <c r="K109" s="56"/>
      <c r="L109" s="70"/>
      <c r="M109" s="70">
        <f>+O109+P109+R109+S109+T109</f>
        <v>0</v>
      </c>
      <c r="N109" s="70"/>
      <c r="O109" s="56"/>
      <c r="P109" s="56"/>
      <c r="Q109" s="56"/>
      <c r="R109" s="56"/>
      <c r="S109" s="56"/>
      <c r="T109" s="56"/>
      <c r="U109" s="70">
        <f t="shared" si="92"/>
        <v>12000</v>
      </c>
      <c r="V109" s="143">
        <f t="shared" si="88"/>
        <v>0</v>
      </c>
      <c r="W109" s="143">
        <f t="shared" si="88"/>
        <v>0</v>
      </c>
      <c r="X109" s="136">
        <f>H109+P109</f>
        <v>12000</v>
      </c>
      <c r="Y109" s="143"/>
      <c r="Z109" s="143">
        <f t="shared" si="89"/>
        <v>0</v>
      </c>
      <c r="AA109" s="143">
        <f t="shared" si="87"/>
        <v>0</v>
      </c>
      <c r="AB109" s="143">
        <f t="shared" si="87"/>
        <v>0</v>
      </c>
      <c r="AC109" s="116"/>
      <c r="AD109" s="98"/>
      <c r="AE109" s="98"/>
    </row>
    <row r="110" spans="1:31" s="38" customFormat="1" ht="83.25" customHeight="1" x14ac:dyDescent="0.25">
      <c r="A110" s="116" t="s">
        <v>140</v>
      </c>
      <c r="B110" s="96" t="s">
        <v>59</v>
      </c>
      <c r="C110" s="97">
        <v>244</v>
      </c>
      <c r="D110" s="97">
        <v>225</v>
      </c>
      <c r="E110" s="70">
        <f t="shared" si="90"/>
        <v>0</v>
      </c>
      <c r="F110" s="56"/>
      <c r="G110" s="56"/>
      <c r="H110" s="56"/>
      <c r="I110" s="93"/>
      <c r="J110" s="70"/>
      <c r="K110" s="56"/>
      <c r="L110" s="70"/>
      <c r="M110" s="70">
        <f t="shared" ref="M110:M112" si="103">+O110+P110+R110+S110+T110</f>
        <v>0</v>
      </c>
      <c r="N110" s="70"/>
      <c r="O110" s="137"/>
      <c r="P110" s="137"/>
      <c r="Q110" s="137"/>
      <c r="R110" s="137"/>
      <c r="S110" s="137"/>
      <c r="T110" s="137"/>
      <c r="U110" s="70">
        <f>V110+W110+X110+AB110+Z110+AA110</f>
        <v>0</v>
      </c>
      <c r="V110" s="143">
        <f t="shared" si="88"/>
        <v>0</v>
      </c>
      <c r="W110" s="143">
        <f t="shared" si="88"/>
        <v>0</v>
      </c>
      <c r="X110" s="136">
        <f>H110+P110</f>
        <v>0</v>
      </c>
      <c r="Y110" s="143"/>
      <c r="Z110" s="143">
        <f>J110+R112</f>
        <v>0</v>
      </c>
      <c r="AA110" s="143">
        <f>K110+S112</f>
        <v>0</v>
      </c>
      <c r="AB110" s="143">
        <f>L110+T112</f>
        <v>0</v>
      </c>
      <c r="AC110" s="116" t="s">
        <v>164</v>
      </c>
      <c r="AD110" s="98"/>
      <c r="AE110" s="98"/>
    </row>
    <row r="111" spans="1:31" s="38" customFormat="1" ht="43.5" customHeight="1" x14ac:dyDescent="0.25">
      <c r="A111" s="116" t="s">
        <v>182</v>
      </c>
      <c r="B111" s="96" t="s">
        <v>59</v>
      </c>
      <c r="C111" s="97">
        <v>244</v>
      </c>
      <c r="D111" s="97">
        <v>226</v>
      </c>
      <c r="E111" s="70">
        <f t="shared" si="90"/>
        <v>0</v>
      </c>
      <c r="F111" s="56"/>
      <c r="G111" s="56"/>
      <c r="H111" s="56"/>
      <c r="I111" s="93"/>
      <c r="J111" s="70"/>
      <c r="K111" s="56"/>
      <c r="L111" s="70"/>
      <c r="M111" s="70">
        <f>+O111+P111+R111+S111+T111</f>
        <v>33348</v>
      </c>
      <c r="N111" s="70"/>
      <c r="O111" s="137"/>
      <c r="P111" s="137">
        <f>24940.14+5558.45</f>
        <v>30498.59</v>
      </c>
      <c r="Q111" s="137"/>
      <c r="R111" s="137"/>
      <c r="S111" s="137"/>
      <c r="T111" s="137">
        <v>2849.41</v>
      </c>
      <c r="U111" s="70">
        <f>V111+W111+X111+AB111+Z111+AA111</f>
        <v>33348</v>
      </c>
      <c r="V111" s="143">
        <f t="shared" si="88"/>
        <v>0</v>
      </c>
      <c r="W111" s="136">
        <f>G111+O111</f>
        <v>0</v>
      </c>
      <c r="X111" s="143">
        <f t="shared" ref="X111:X112" si="104">H111+P111</f>
        <v>30498.59</v>
      </c>
      <c r="Y111" s="143"/>
      <c r="Z111" s="143">
        <f t="shared" ref="Z111:AA111" si="105">J111+R111</f>
        <v>0</v>
      </c>
      <c r="AA111" s="143">
        <f t="shared" si="105"/>
        <v>0</v>
      </c>
      <c r="AB111" s="136">
        <f>L111+T111</f>
        <v>2849.41</v>
      </c>
      <c r="AC111" s="116"/>
      <c r="AD111" s="98"/>
      <c r="AE111" s="98"/>
    </row>
    <row r="112" spans="1:31" s="50" customFormat="1" x14ac:dyDescent="0.25">
      <c r="A112" s="119" t="s">
        <v>37</v>
      </c>
      <c r="B112" s="120"/>
      <c r="C112" s="118"/>
      <c r="D112" s="118"/>
      <c r="E112" s="70">
        <f t="shared" si="90"/>
        <v>13639396.08</v>
      </c>
      <c r="F112" s="70"/>
      <c r="G112" s="70">
        <f>SUM(G81:G111)</f>
        <v>0</v>
      </c>
      <c r="H112" s="70">
        <f>SUM(H81:H111)</f>
        <v>577243.01</v>
      </c>
      <c r="I112" s="121"/>
      <c r="J112" s="70">
        <f>SUM(J82:J109)</f>
        <v>0</v>
      </c>
      <c r="K112" s="70">
        <f>SUM(K82:K109)</f>
        <v>13061111</v>
      </c>
      <c r="L112" s="70">
        <f>L82+L83+L84+L85+L86+L87+L88+L89+L90+L91+L108+L81+L110+L111</f>
        <v>1042.07</v>
      </c>
      <c r="M112" s="70">
        <f t="shared" si="103"/>
        <v>0</v>
      </c>
      <c r="N112" s="70"/>
      <c r="O112" s="56"/>
      <c r="P112" s="56"/>
      <c r="Q112" s="56"/>
      <c r="R112" s="56"/>
      <c r="S112" s="56"/>
      <c r="T112" s="56"/>
      <c r="U112" s="70">
        <f t="shared" si="92"/>
        <v>13639396.08</v>
      </c>
      <c r="V112" s="143">
        <f t="shared" si="88"/>
        <v>0</v>
      </c>
      <c r="W112" s="136">
        <f>G112+O112</f>
        <v>0</v>
      </c>
      <c r="X112" s="143">
        <f t="shared" si="104"/>
        <v>577243.01</v>
      </c>
      <c r="Y112" s="143"/>
      <c r="Z112" s="143">
        <f t="shared" ref="Z112:AA112" si="106">J112+R113</f>
        <v>0</v>
      </c>
      <c r="AA112" s="143">
        <f t="shared" si="106"/>
        <v>13061111</v>
      </c>
      <c r="AB112" s="136">
        <f>L112+T112</f>
        <v>1042.07</v>
      </c>
      <c r="AC112" s="116"/>
      <c r="AD112" s="150"/>
      <c r="AE112" s="150"/>
    </row>
    <row r="113" spans="1:31" s="38" customFormat="1" ht="102" x14ac:dyDescent="0.25">
      <c r="A113" s="116" t="s">
        <v>88</v>
      </c>
      <c r="B113" s="96" t="s">
        <v>59</v>
      </c>
      <c r="C113" s="97">
        <v>244</v>
      </c>
      <c r="D113" s="97">
        <v>226</v>
      </c>
      <c r="E113" s="70">
        <f t="shared" si="90"/>
        <v>550.70999999999992</v>
      </c>
      <c r="F113" s="56"/>
      <c r="G113" s="56"/>
      <c r="H113" s="56">
        <v>489.09</v>
      </c>
      <c r="I113" s="93"/>
      <c r="J113" s="56"/>
      <c r="K113" s="56"/>
      <c r="L113" s="56">
        <v>61.62</v>
      </c>
      <c r="M113" s="70">
        <f t="shared" si="91"/>
        <v>66.690000000000012</v>
      </c>
      <c r="N113" s="70"/>
      <c r="O113" s="70">
        <v>66.680000000000007</v>
      </c>
      <c r="P113" s="70">
        <v>0.01</v>
      </c>
      <c r="Q113" s="70"/>
      <c r="R113" s="70"/>
      <c r="S113" s="70"/>
      <c r="T113" s="70"/>
      <c r="U113" s="70">
        <f>V113+W113+X113+AB113+Z113+AA113</f>
        <v>617.4</v>
      </c>
      <c r="V113" s="146">
        <f t="shared" si="88"/>
        <v>0</v>
      </c>
      <c r="W113" s="146">
        <f t="shared" si="88"/>
        <v>66.680000000000007</v>
      </c>
      <c r="X113" s="146">
        <f t="shared" si="88"/>
        <v>489.09999999999997</v>
      </c>
      <c r="Y113" s="146"/>
      <c r="Z113" s="146">
        <f t="shared" si="89"/>
        <v>0</v>
      </c>
      <c r="AA113" s="146">
        <f t="shared" si="87"/>
        <v>0</v>
      </c>
      <c r="AB113" s="146">
        <f t="shared" si="87"/>
        <v>61.62</v>
      </c>
      <c r="AC113" s="116" t="s">
        <v>164</v>
      </c>
      <c r="AD113" s="98"/>
      <c r="AE113" s="98"/>
    </row>
    <row r="114" spans="1:31" s="98" customFormat="1" ht="102" x14ac:dyDescent="0.25">
      <c r="A114" s="116" t="s">
        <v>89</v>
      </c>
      <c r="B114" s="96" t="s">
        <v>59</v>
      </c>
      <c r="C114" s="97">
        <f>C113</f>
        <v>244</v>
      </c>
      <c r="D114" s="97">
        <f>D113</f>
        <v>226</v>
      </c>
      <c r="E114" s="70">
        <f t="shared" si="90"/>
        <v>6421.16</v>
      </c>
      <c r="F114" s="56"/>
      <c r="G114" s="56"/>
      <c r="H114" s="56">
        <v>5702.69</v>
      </c>
      <c r="I114" s="93"/>
      <c r="J114" s="56"/>
      <c r="K114" s="56"/>
      <c r="L114" s="56">
        <v>718.47</v>
      </c>
      <c r="M114" s="70">
        <f t="shared" si="91"/>
        <v>777.64</v>
      </c>
      <c r="N114" s="70"/>
      <c r="O114" s="56">
        <v>777.64</v>
      </c>
      <c r="P114" s="56"/>
      <c r="Q114" s="56"/>
      <c r="R114" s="56"/>
      <c r="S114" s="56"/>
      <c r="T114" s="56"/>
      <c r="U114" s="70">
        <f t="shared" si="92"/>
        <v>7198.8</v>
      </c>
      <c r="V114" s="143">
        <f t="shared" si="88"/>
        <v>0</v>
      </c>
      <c r="W114" s="143">
        <f t="shared" si="88"/>
        <v>777.64</v>
      </c>
      <c r="X114" s="143">
        <f t="shared" si="88"/>
        <v>5702.69</v>
      </c>
      <c r="Y114" s="143"/>
      <c r="Z114" s="143">
        <f t="shared" si="89"/>
        <v>0</v>
      </c>
      <c r="AA114" s="143">
        <f t="shared" si="87"/>
        <v>0</v>
      </c>
      <c r="AB114" s="136">
        <f>L114+T114</f>
        <v>718.47</v>
      </c>
      <c r="AC114" s="116" t="s">
        <v>164</v>
      </c>
    </row>
    <row r="115" spans="1:31" s="38" customFormat="1" ht="102" x14ac:dyDescent="0.25">
      <c r="A115" s="116" t="s">
        <v>90</v>
      </c>
      <c r="B115" s="96" t="s">
        <v>59</v>
      </c>
      <c r="C115" s="97">
        <f t="shared" ref="C115:D118" si="107">C114</f>
        <v>244</v>
      </c>
      <c r="D115" s="97">
        <f t="shared" si="107"/>
        <v>226</v>
      </c>
      <c r="E115" s="70">
        <f t="shared" si="90"/>
        <v>116254.41</v>
      </c>
      <c r="F115" s="56"/>
      <c r="G115" s="56"/>
      <c r="H115" s="56">
        <f>83212.15+761.52</f>
        <v>83973.67</v>
      </c>
      <c r="I115" s="93"/>
      <c r="J115" s="56"/>
      <c r="K115" s="56"/>
      <c r="L115" s="56">
        <v>32280.74</v>
      </c>
      <c r="M115" s="70">
        <f t="shared" si="91"/>
        <v>10585.59</v>
      </c>
      <c r="N115" s="70"/>
      <c r="O115" s="56">
        <v>10585.59</v>
      </c>
      <c r="P115" s="56"/>
      <c r="Q115" s="56"/>
      <c r="R115" s="56"/>
      <c r="S115" s="56"/>
      <c r="T115" s="56"/>
      <c r="U115" s="70">
        <f t="shared" si="92"/>
        <v>126840</v>
      </c>
      <c r="V115" s="143">
        <f t="shared" si="88"/>
        <v>0</v>
      </c>
      <c r="W115" s="143">
        <f t="shared" si="88"/>
        <v>10585.59</v>
      </c>
      <c r="X115" s="143">
        <f t="shared" si="88"/>
        <v>83973.67</v>
      </c>
      <c r="Y115" s="143"/>
      <c r="Z115" s="143">
        <f t="shared" si="89"/>
        <v>0</v>
      </c>
      <c r="AA115" s="143">
        <f t="shared" si="87"/>
        <v>0</v>
      </c>
      <c r="AB115" s="143">
        <f t="shared" si="87"/>
        <v>32280.74</v>
      </c>
      <c r="AC115" s="116" t="s">
        <v>164</v>
      </c>
      <c r="AD115" s="98"/>
      <c r="AE115" s="98"/>
    </row>
    <row r="116" spans="1:31" s="38" customFormat="1" ht="102" x14ac:dyDescent="0.25">
      <c r="A116" s="116" t="s">
        <v>91</v>
      </c>
      <c r="B116" s="96" t="s">
        <v>59</v>
      </c>
      <c r="C116" s="97">
        <f t="shared" si="107"/>
        <v>244</v>
      </c>
      <c r="D116" s="97">
        <f t="shared" si="107"/>
        <v>226</v>
      </c>
      <c r="E116" s="70">
        <f t="shared" si="90"/>
        <v>44389.919999999998</v>
      </c>
      <c r="F116" s="56"/>
      <c r="G116" s="56"/>
      <c r="H116" s="56">
        <v>39423.1</v>
      </c>
      <c r="I116" s="93"/>
      <c r="J116" s="56"/>
      <c r="K116" s="56"/>
      <c r="L116" s="56">
        <v>4966.82</v>
      </c>
      <c r="M116" s="70">
        <f t="shared" si="91"/>
        <v>5375.88</v>
      </c>
      <c r="N116" s="70"/>
      <c r="O116" s="56">
        <v>5375.88</v>
      </c>
      <c r="P116" s="56"/>
      <c r="Q116" s="56"/>
      <c r="R116" s="56"/>
      <c r="S116" s="56"/>
      <c r="T116" s="56"/>
      <c r="U116" s="70">
        <f t="shared" si="92"/>
        <v>49765.799999999996</v>
      </c>
      <c r="V116" s="143">
        <f t="shared" si="88"/>
        <v>0</v>
      </c>
      <c r="W116" s="136">
        <f>G116+O116</f>
        <v>5375.88</v>
      </c>
      <c r="X116" s="143">
        <f t="shared" si="88"/>
        <v>39423.1</v>
      </c>
      <c r="Y116" s="143"/>
      <c r="Z116" s="143">
        <f t="shared" si="89"/>
        <v>0</v>
      </c>
      <c r="AA116" s="143">
        <f t="shared" si="87"/>
        <v>0</v>
      </c>
      <c r="AB116" s="136">
        <f>L116+T116</f>
        <v>4966.82</v>
      </c>
      <c r="AC116" s="116" t="s">
        <v>164</v>
      </c>
      <c r="AD116" s="98"/>
      <c r="AE116" s="98"/>
    </row>
    <row r="117" spans="1:31" s="38" customFormat="1" ht="102" x14ac:dyDescent="0.25">
      <c r="A117" s="116" t="s">
        <v>92</v>
      </c>
      <c r="B117" s="96" t="s">
        <v>59</v>
      </c>
      <c r="C117" s="97">
        <f t="shared" si="107"/>
        <v>244</v>
      </c>
      <c r="D117" s="97">
        <f t="shared" si="107"/>
        <v>226</v>
      </c>
      <c r="E117" s="70">
        <f t="shared" si="90"/>
        <v>24160.75</v>
      </c>
      <c r="F117" s="56"/>
      <c r="G117" s="56"/>
      <c r="H117" s="56">
        <v>24160.75</v>
      </c>
      <c r="I117" s="93"/>
      <c r="J117" s="56"/>
      <c r="K117" s="56"/>
      <c r="L117" s="56"/>
      <c r="M117" s="70">
        <f t="shared" si="91"/>
        <v>3294.65</v>
      </c>
      <c r="N117" s="70"/>
      <c r="O117" s="56">
        <v>3294.65</v>
      </c>
      <c r="P117" s="56"/>
      <c r="Q117" s="56"/>
      <c r="R117" s="56"/>
      <c r="S117" s="56"/>
      <c r="T117" s="56"/>
      <c r="U117" s="70">
        <f t="shared" si="92"/>
        <v>27455.4</v>
      </c>
      <c r="V117" s="143">
        <f t="shared" si="88"/>
        <v>0</v>
      </c>
      <c r="W117" s="136">
        <f>G117+O117</f>
        <v>3294.65</v>
      </c>
      <c r="X117" s="143">
        <f t="shared" si="88"/>
        <v>24160.75</v>
      </c>
      <c r="Y117" s="143"/>
      <c r="Z117" s="143">
        <f t="shared" si="89"/>
        <v>0</v>
      </c>
      <c r="AA117" s="143">
        <f t="shared" si="87"/>
        <v>0</v>
      </c>
      <c r="AB117" s="143">
        <f t="shared" si="87"/>
        <v>0</v>
      </c>
      <c r="AC117" s="116" t="s">
        <v>164</v>
      </c>
      <c r="AD117" s="98"/>
      <c r="AE117" s="98"/>
    </row>
    <row r="118" spans="1:31" s="38" customFormat="1" ht="102" x14ac:dyDescent="0.25">
      <c r="A118" s="116" t="s">
        <v>93</v>
      </c>
      <c r="B118" s="96" t="s">
        <v>59</v>
      </c>
      <c r="C118" s="97">
        <f t="shared" si="107"/>
        <v>244</v>
      </c>
      <c r="D118" s="97">
        <f t="shared" si="107"/>
        <v>226</v>
      </c>
      <c r="E118" s="70">
        <f t="shared" si="90"/>
        <v>17071.89</v>
      </c>
      <c r="F118" s="56"/>
      <c r="G118" s="56"/>
      <c r="H118" s="56">
        <v>15161.71</v>
      </c>
      <c r="I118" s="93"/>
      <c r="J118" s="56"/>
      <c r="K118" s="56"/>
      <c r="L118" s="56">
        <v>1910.18</v>
      </c>
      <c r="M118" s="70">
        <f>+O118+P118+R118+S118+T118</f>
        <v>2067.5100000000002</v>
      </c>
      <c r="N118" s="70"/>
      <c r="O118" s="56">
        <v>2067.5100000000002</v>
      </c>
      <c r="P118" s="56"/>
      <c r="Q118" s="56"/>
      <c r="R118" s="56"/>
      <c r="S118" s="56"/>
      <c r="T118" s="56"/>
      <c r="U118" s="70">
        <f t="shared" si="92"/>
        <v>19139.400000000001</v>
      </c>
      <c r="V118" s="143">
        <f t="shared" si="88"/>
        <v>0</v>
      </c>
      <c r="W118" s="143">
        <f t="shared" si="88"/>
        <v>2067.5100000000002</v>
      </c>
      <c r="X118" s="143">
        <f t="shared" si="88"/>
        <v>15161.71</v>
      </c>
      <c r="Y118" s="143"/>
      <c r="Z118" s="143">
        <f t="shared" si="89"/>
        <v>0</v>
      </c>
      <c r="AA118" s="143">
        <f t="shared" si="87"/>
        <v>0</v>
      </c>
      <c r="AB118" s="136">
        <f>L118+T118</f>
        <v>1910.18</v>
      </c>
      <c r="AC118" s="116" t="s">
        <v>164</v>
      </c>
      <c r="AD118" s="98"/>
      <c r="AE118" s="98"/>
    </row>
    <row r="119" spans="1:31" s="38" customFormat="1" ht="31.5" customHeight="1" x14ac:dyDescent="0.2">
      <c r="A119" s="43" t="s">
        <v>74</v>
      </c>
      <c r="B119" s="96" t="s">
        <v>58</v>
      </c>
      <c r="C119" s="97">
        <v>244</v>
      </c>
      <c r="D119" s="97">
        <v>226</v>
      </c>
      <c r="E119" s="70">
        <f t="shared" si="90"/>
        <v>63420</v>
      </c>
      <c r="F119" s="56"/>
      <c r="G119" s="70"/>
      <c r="H119" s="56">
        <v>63420</v>
      </c>
      <c r="I119" s="93"/>
      <c r="J119" s="70"/>
      <c r="K119" s="70"/>
      <c r="L119" s="70"/>
      <c r="M119" s="70">
        <f t="shared" si="91"/>
        <v>0</v>
      </c>
      <c r="N119" s="70"/>
      <c r="O119" s="56"/>
      <c r="P119" s="56"/>
      <c r="Q119" s="93"/>
      <c r="R119" s="56"/>
      <c r="S119" s="56"/>
      <c r="T119" s="56"/>
      <c r="U119" s="70">
        <f t="shared" si="92"/>
        <v>63420</v>
      </c>
      <c r="V119" s="143">
        <f t="shared" si="88"/>
        <v>0</v>
      </c>
      <c r="W119" s="143">
        <f t="shared" si="88"/>
        <v>0</v>
      </c>
      <c r="X119" s="143">
        <f t="shared" si="88"/>
        <v>63420</v>
      </c>
      <c r="Y119" s="143"/>
      <c r="Z119" s="143">
        <f t="shared" si="89"/>
        <v>0</v>
      </c>
      <c r="AA119" s="143">
        <f t="shared" si="87"/>
        <v>0</v>
      </c>
      <c r="AB119" s="136">
        <f>L119+T119</f>
        <v>0</v>
      </c>
      <c r="AC119" s="116"/>
      <c r="AD119" s="98"/>
      <c r="AE119" s="98"/>
    </row>
    <row r="120" spans="1:31" s="38" customFormat="1" ht="56.25" customHeight="1" x14ac:dyDescent="0.2">
      <c r="A120" s="43" t="s">
        <v>195</v>
      </c>
      <c r="B120" s="96" t="s">
        <v>58</v>
      </c>
      <c r="C120" s="97">
        <v>244</v>
      </c>
      <c r="D120" s="97">
        <v>226</v>
      </c>
      <c r="E120" s="70">
        <f t="shared" si="90"/>
        <v>0</v>
      </c>
      <c r="F120" s="56"/>
      <c r="G120" s="70"/>
      <c r="H120" s="56"/>
      <c r="I120" s="93"/>
      <c r="J120" s="70"/>
      <c r="K120" s="70"/>
      <c r="L120" s="70"/>
      <c r="M120" s="70">
        <f t="shared" si="91"/>
        <v>44000</v>
      </c>
      <c r="N120" s="70"/>
      <c r="O120" s="56"/>
      <c r="P120" s="56">
        <v>44000</v>
      </c>
      <c r="Q120" s="93"/>
      <c r="R120" s="56"/>
      <c r="S120" s="56"/>
      <c r="T120" s="56"/>
      <c r="U120" s="70">
        <f t="shared" ref="U120" si="108">V120+W120+X120+AB120+Z120+AA120</f>
        <v>44000</v>
      </c>
      <c r="V120" s="143">
        <f t="shared" ref="V120" si="109">F120+N120</f>
        <v>0</v>
      </c>
      <c r="W120" s="143">
        <f t="shared" ref="W120" si="110">G120+O120</f>
        <v>0</v>
      </c>
      <c r="X120" s="143">
        <f t="shared" ref="X120" si="111">H120+P120</f>
        <v>44000</v>
      </c>
      <c r="Y120" s="143"/>
      <c r="Z120" s="143"/>
      <c r="AA120" s="143"/>
      <c r="AB120" s="136"/>
      <c r="AC120" s="116"/>
      <c r="AD120" s="98"/>
      <c r="AE120" s="98"/>
    </row>
    <row r="121" spans="1:31" s="38" customFormat="1" ht="44.25" customHeight="1" x14ac:dyDescent="0.2">
      <c r="A121" s="43" t="s">
        <v>194</v>
      </c>
      <c r="B121" s="96" t="s">
        <v>58</v>
      </c>
      <c r="C121" s="97">
        <v>244</v>
      </c>
      <c r="D121" s="97">
        <v>226</v>
      </c>
      <c r="E121" s="70">
        <f t="shared" ref="E121" si="112">SUM(G121+H121+J121+K121+L121)+F121</f>
        <v>0</v>
      </c>
      <c r="F121" s="56"/>
      <c r="G121" s="70"/>
      <c r="H121" s="56"/>
      <c r="I121" s="93"/>
      <c r="J121" s="70"/>
      <c r="K121" s="70"/>
      <c r="L121" s="70"/>
      <c r="M121" s="70">
        <f t="shared" si="91"/>
        <v>20000</v>
      </c>
      <c r="N121" s="70"/>
      <c r="O121" s="56"/>
      <c r="P121" s="56">
        <v>20000</v>
      </c>
      <c r="Q121" s="93"/>
      <c r="R121" s="56"/>
      <c r="S121" s="56"/>
      <c r="T121" s="56"/>
      <c r="U121" s="70">
        <f t="shared" si="92"/>
        <v>20000</v>
      </c>
      <c r="V121" s="143"/>
      <c r="W121" s="143"/>
      <c r="X121" s="143">
        <v>20000</v>
      </c>
      <c r="Y121" s="143"/>
      <c r="Z121" s="143"/>
      <c r="AA121" s="143"/>
      <c r="AB121" s="136"/>
      <c r="AC121" s="116"/>
      <c r="AD121" s="98"/>
      <c r="AE121" s="98"/>
    </row>
    <row r="122" spans="1:31" s="104" customFormat="1" ht="24" customHeight="1" x14ac:dyDescent="0.2">
      <c r="A122" s="43" t="s">
        <v>101</v>
      </c>
      <c r="B122" s="96" t="s">
        <v>58</v>
      </c>
      <c r="C122" s="97">
        <v>244</v>
      </c>
      <c r="D122" s="97">
        <v>226</v>
      </c>
      <c r="E122" s="70">
        <f>SUM(G122+H122+J122+K122+L122)+F122</f>
        <v>612000</v>
      </c>
      <c r="F122" s="56"/>
      <c r="G122" s="70"/>
      <c r="H122" s="56">
        <v>612000</v>
      </c>
      <c r="I122" s="93"/>
      <c r="J122" s="70"/>
      <c r="K122" s="56"/>
      <c r="L122" s="70"/>
      <c r="M122" s="70">
        <f t="shared" si="91"/>
        <v>0</v>
      </c>
      <c r="N122" s="70"/>
      <c r="O122" s="56"/>
      <c r="P122" s="56"/>
      <c r="Q122" s="56"/>
      <c r="R122" s="56"/>
      <c r="S122" s="56"/>
      <c r="T122" s="56"/>
      <c r="U122" s="70">
        <f t="shared" si="92"/>
        <v>612000</v>
      </c>
      <c r="V122" s="143">
        <f t="shared" si="88"/>
        <v>0</v>
      </c>
      <c r="W122" s="143">
        <f t="shared" si="88"/>
        <v>0</v>
      </c>
      <c r="X122" s="143">
        <f t="shared" si="88"/>
        <v>612000</v>
      </c>
      <c r="Y122" s="143"/>
      <c r="Z122" s="143">
        <f t="shared" si="89"/>
        <v>0</v>
      </c>
      <c r="AA122" s="143">
        <f t="shared" si="87"/>
        <v>0</v>
      </c>
      <c r="AB122" s="143">
        <f t="shared" si="87"/>
        <v>0</v>
      </c>
      <c r="AC122" s="116"/>
      <c r="AD122" s="98"/>
      <c r="AE122" s="98"/>
    </row>
    <row r="123" spans="1:31" s="38" customFormat="1" ht="76.5" x14ac:dyDescent="0.2">
      <c r="A123" s="43" t="s">
        <v>100</v>
      </c>
      <c r="B123" s="96" t="s">
        <v>58</v>
      </c>
      <c r="C123" s="97">
        <v>244</v>
      </c>
      <c r="D123" s="97">
        <v>226</v>
      </c>
      <c r="E123" s="70">
        <f t="shared" si="90"/>
        <v>6000</v>
      </c>
      <c r="F123" s="56"/>
      <c r="G123" s="70"/>
      <c r="H123" s="56">
        <v>6000</v>
      </c>
      <c r="I123" s="93"/>
      <c r="J123" s="70"/>
      <c r="K123" s="70"/>
      <c r="L123" s="70"/>
      <c r="M123" s="70">
        <f t="shared" si="91"/>
        <v>0</v>
      </c>
      <c r="N123" s="70"/>
      <c r="O123" s="56"/>
      <c r="P123" s="56"/>
      <c r="Q123" s="56"/>
      <c r="R123" s="56"/>
      <c r="S123" s="56"/>
      <c r="T123" s="56"/>
      <c r="U123" s="70">
        <f t="shared" si="92"/>
        <v>6000</v>
      </c>
      <c r="V123" s="143">
        <f t="shared" si="88"/>
        <v>0</v>
      </c>
      <c r="W123" s="143">
        <f t="shared" si="88"/>
        <v>0</v>
      </c>
      <c r="X123" s="143">
        <f t="shared" si="88"/>
        <v>6000</v>
      </c>
      <c r="Y123" s="143"/>
      <c r="Z123" s="143">
        <f t="shared" si="89"/>
        <v>0</v>
      </c>
      <c r="AA123" s="143">
        <f t="shared" si="87"/>
        <v>0</v>
      </c>
      <c r="AB123" s="143">
        <f t="shared" si="87"/>
        <v>0</v>
      </c>
      <c r="AC123" s="116"/>
      <c r="AD123" s="98"/>
      <c r="AE123" s="98"/>
    </row>
    <row r="124" spans="1:31" s="38" customFormat="1" x14ac:dyDescent="0.2">
      <c r="A124" s="43"/>
      <c r="B124" s="96"/>
      <c r="C124" s="97"/>
      <c r="D124" s="97"/>
      <c r="E124" s="70"/>
      <c r="F124" s="56"/>
      <c r="G124" s="70"/>
      <c r="H124" s="56"/>
      <c r="I124" s="93"/>
      <c r="J124" s="70"/>
      <c r="K124" s="70"/>
      <c r="L124" s="70"/>
      <c r="M124" s="70">
        <f t="shared" si="91"/>
        <v>0</v>
      </c>
      <c r="N124" s="70"/>
      <c r="O124" s="56"/>
      <c r="P124" s="56"/>
      <c r="Q124" s="56"/>
      <c r="R124" s="56"/>
      <c r="S124" s="56"/>
      <c r="T124" s="56"/>
      <c r="U124" s="70">
        <f t="shared" si="92"/>
        <v>0</v>
      </c>
      <c r="V124" s="143">
        <f t="shared" si="88"/>
        <v>0</v>
      </c>
      <c r="W124" s="143">
        <f t="shared" si="88"/>
        <v>0</v>
      </c>
      <c r="X124" s="143">
        <f t="shared" si="88"/>
        <v>0</v>
      </c>
      <c r="Y124" s="143"/>
      <c r="Z124" s="143">
        <f t="shared" si="89"/>
        <v>0</v>
      </c>
      <c r="AA124" s="143">
        <f t="shared" si="87"/>
        <v>0</v>
      </c>
      <c r="AB124" s="143">
        <f t="shared" si="87"/>
        <v>0</v>
      </c>
      <c r="AC124" s="116"/>
      <c r="AD124" s="98"/>
      <c r="AE124" s="98"/>
    </row>
    <row r="125" spans="1:31" s="38" customFormat="1" ht="33" customHeight="1" x14ac:dyDescent="0.2">
      <c r="A125" s="43" t="s">
        <v>117</v>
      </c>
      <c r="B125" s="96" t="s">
        <v>56</v>
      </c>
      <c r="C125" s="97">
        <v>244</v>
      </c>
      <c r="D125" s="97">
        <v>226</v>
      </c>
      <c r="E125" s="70">
        <f t="shared" si="90"/>
        <v>52900</v>
      </c>
      <c r="F125" s="56"/>
      <c r="G125" s="70"/>
      <c r="H125" s="56">
        <v>52900</v>
      </c>
      <c r="I125" s="93"/>
      <c r="J125" s="70"/>
      <c r="K125" s="70"/>
      <c r="L125" s="70"/>
      <c r="M125" s="70">
        <f t="shared" si="91"/>
        <v>0</v>
      </c>
      <c r="N125" s="70"/>
      <c r="O125" s="56"/>
      <c r="P125" s="56"/>
      <c r="Q125" s="56"/>
      <c r="R125" s="56"/>
      <c r="S125" s="56"/>
      <c r="T125" s="56"/>
      <c r="U125" s="70">
        <f t="shared" si="92"/>
        <v>52900</v>
      </c>
      <c r="V125" s="143">
        <f t="shared" si="88"/>
        <v>0</v>
      </c>
      <c r="W125" s="143">
        <f t="shared" si="88"/>
        <v>0</v>
      </c>
      <c r="X125" s="143">
        <f t="shared" si="88"/>
        <v>52900</v>
      </c>
      <c r="Y125" s="143"/>
      <c r="Z125" s="143">
        <f t="shared" si="89"/>
        <v>0</v>
      </c>
      <c r="AA125" s="143">
        <f t="shared" si="87"/>
        <v>0</v>
      </c>
      <c r="AB125" s="143">
        <f t="shared" si="87"/>
        <v>0</v>
      </c>
      <c r="AC125" s="116"/>
      <c r="AD125" s="98"/>
      <c r="AE125" s="98"/>
    </row>
    <row r="126" spans="1:31" s="38" customFormat="1" ht="37.5" customHeight="1" x14ac:dyDescent="0.2">
      <c r="A126" s="43" t="s">
        <v>113</v>
      </c>
      <c r="B126" s="96" t="s">
        <v>56</v>
      </c>
      <c r="C126" s="97">
        <v>244</v>
      </c>
      <c r="D126" s="97">
        <v>226</v>
      </c>
      <c r="E126" s="70">
        <f t="shared" si="90"/>
        <v>52800</v>
      </c>
      <c r="F126" s="56"/>
      <c r="G126" s="70"/>
      <c r="H126" s="56">
        <v>52800</v>
      </c>
      <c r="I126" s="93"/>
      <c r="J126" s="70"/>
      <c r="K126" s="70"/>
      <c r="L126" s="70"/>
      <c r="M126" s="70">
        <f t="shared" si="91"/>
        <v>0</v>
      </c>
      <c r="N126" s="70"/>
      <c r="O126" s="56"/>
      <c r="P126" s="56"/>
      <c r="Q126" s="56"/>
      <c r="R126" s="56"/>
      <c r="S126" s="56"/>
      <c r="T126" s="56"/>
      <c r="U126" s="70">
        <f t="shared" si="92"/>
        <v>52800</v>
      </c>
      <c r="V126" s="143">
        <f t="shared" si="88"/>
        <v>0</v>
      </c>
      <c r="W126" s="143">
        <f t="shared" si="88"/>
        <v>0</v>
      </c>
      <c r="X126" s="136">
        <f t="shared" si="88"/>
        <v>52800</v>
      </c>
      <c r="Y126" s="143"/>
      <c r="Z126" s="143">
        <f t="shared" si="89"/>
        <v>0</v>
      </c>
      <c r="AA126" s="143">
        <f t="shared" si="87"/>
        <v>0</v>
      </c>
      <c r="AB126" s="143">
        <f t="shared" si="87"/>
        <v>0</v>
      </c>
      <c r="AC126" s="116"/>
      <c r="AD126" s="98"/>
      <c r="AE126" s="98"/>
    </row>
    <row r="127" spans="1:31" s="38" customFormat="1" ht="37.5" customHeight="1" x14ac:dyDescent="0.2">
      <c r="A127" s="43" t="s">
        <v>111</v>
      </c>
      <c r="B127" s="96" t="s">
        <v>56</v>
      </c>
      <c r="C127" s="97">
        <v>244</v>
      </c>
      <c r="D127" s="97">
        <v>226</v>
      </c>
      <c r="E127" s="70">
        <f t="shared" si="90"/>
        <v>63420</v>
      </c>
      <c r="F127" s="56"/>
      <c r="G127" s="70"/>
      <c r="H127" s="56">
        <v>63420</v>
      </c>
      <c r="I127" s="93"/>
      <c r="J127" s="70"/>
      <c r="K127" s="70"/>
      <c r="L127" s="70"/>
      <c r="M127" s="70">
        <f t="shared" si="91"/>
        <v>0</v>
      </c>
      <c r="N127" s="70"/>
      <c r="O127" s="56"/>
      <c r="P127" s="56"/>
      <c r="Q127" s="56"/>
      <c r="R127" s="56"/>
      <c r="S127" s="56"/>
      <c r="T127" s="56"/>
      <c r="U127" s="70">
        <f t="shared" si="92"/>
        <v>63420</v>
      </c>
      <c r="V127" s="143">
        <f t="shared" si="88"/>
        <v>0</v>
      </c>
      <c r="W127" s="143">
        <f t="shared" si="88"/>
        <v>0</v>
      </c>
      <c r="X127" s="136">
        <f t="shared" si="88"/>
        <v>63420</v>
      </c>
      <c r="Y127" s="143"/>
      <c r="Z127" s="143">
        <f t="shared" si="89"/>
        <v>0</v>
      </c>
      <c r="AA127" s="143">
        <f t="shared" si="87"/>
        <v>0</v>
      </c>
      <c r="AB127" s="143">
        <f t="shared" si="87"/>
        <v>0</v>
      </c>
      <c r="AC127" s="116"/>
      <c r="AD127" s="98"/>
      <c r="AE127" s="98"/>
    </row>
    <row r="128" spans="1:31" s="38" customFormat="1" ht="25.5" customHeight="1" x14ac:dyDescent="0.2">
      <c r="A128" s="43" t="s">
        <v>106</v>
      </c>
      <c r="B128" s="96" t="s">
        <v>56</v>
      </c>
      <c r="C128" s="97">
        <v>244</v>
      </c>
      <c r="D128" s="97">
        <v>226</v>
      </c>
      <c r="E128" s="70">
        <f t="shared" si="90"/>
        <v>7560</v>
      </c>
      <c r="F128" s="56"/>
      <c r="G128" s="70"/>
      <c r="H128" s="56">
        <v>7560</v>
      </c>
      <c r="I128" s="93"/>
      <c r="J128" s="70"/>
      <c r="K128" s="70"/>
      <c r="L128" s="70"/>
      <c r="M128" s="70">
        <f t="shared" si="91"/>
        <v>0</v>
      </c>
      <c r="N128" s="70"/>
      <c r="O128" s="56"/>
      <c r="P128" s="56"/>
      <c r="Q128" s="56"/>
      <c r="R128" s="56"/>
      <c r="S128" s="56"/>
      <c r="T128" s="56"/>
      <c r="U128" s="70">
        <f t="shared" si="92"/>
        <v>7560</v>
      </c>
      <c r="V128" s="143">
        <f t="shared" si="88"/>
        <v>0</v>
      </c>
      <c r="W128" s="143">
        <f t="shared" si="88"/>
        <v>0</v>
      </c>
      <c r="X128" s="136">
        <f t="shared" si="88"/>
        <v>7560</v>
      </c>
      <c r="Y128" s="143"/>
      <c r="Z128" s="143">
        <f t="shared" si="89"/>
        <v>0</v>
      </c>
      <c r="AA128" s="143">
        <f t="shared" si="87"/>
        <v>0</v>
      </c>
      <c r="AB128" s="143">
        <f t="shared" si="87"/>
        <v>0</v>
      </c>
      <c r="AC128" s="116"/>
      <c r="AD128" s="98"/>
      <c r="AE128" s="98"/>
    </row>
    <row r="129" spans="1:31" s="38" customFormat="1" ht="24" customHeight="1" x14ac:dyDescent="0.2">
      <c r="A129" s="43" t="s">
        <v>114</v>
      </c>
      <c r="B129" s="96" t="s">
        <v>56</v>
      </c>
      <c r="C129" s="97">
        <v>244</v>
      </c>
      <c r="D129" s="97">
        <v>226</v>
      </c>
      <c r="E129" s="70">
        <f t="shared" si="90"/>
        <v>7200</v>
      </c>
      <c r="F129" s="56"/>
      <c r="G129" s="70"/>
      <c r="H129" s="56">
        <v>7200</v>
      </c>
      <c r="I129" s="93"/>
      <c r="J129" s="70"/>
      <c r="K129" s="70"/>
      <c r="L129" s="70"/>
      <c r="M129" s="70">
        <f t="shared" si="91"/>
        <v>0</v>
      </c>
      <c r="N129" s="70"/>
      <c r="O129" s="56"/>
      <c r="P129" s="56"/>
      <c r="Q129" s="56"/>
      <c r="R129" s="56"/>
      <c r="S129" s="56"/>
      <c r="T129" s="56"/>
      <c r="U129" s="70">
        <f t="shared" si="92"/>
        <v>7200</v>
      </c>
      <c r="V129" s="143">
        <f t="shared" si="88"/>
        <v>0</v>
      </c>
      <c r="W129" s="143">
        <f t="shared" si="88"/>
        <v>0</v>
      </c>
      <c r="X129" s="136">
        <f t="shared" si="88"/>
        <v>7200</v>
      </c>
      <c r="Y129" s="143"/>
      <c r="Z129" s="143">
        <f t="shared" si="89"/>
        <v>0</v>
      </c>
      <c r="AA129" s="143">
        <f t="shared" si="87"/>
        <v>0</v>
      </c>
      <c r="AB129" s="143">
        <f t="shared" si="87"/>
        <v>0</v>
      </c>
      <c r="AC129" s="116"/>
      <c r="AD129" s="98"/>
      <c r="AE129" s="98"/>
    </row>
    <row r="130" spans="1:31" s="38" customFormat="1" ht="54.75" customHeight="1" x14ac:dyDescent="0.2">
      <c r="A130" s="43" t="s">
        <v>195</v>
      </c>
      <c r="B130" s="96" t="s">
        <v>56</v>
      </c>
      <c r="C130" s="97">
        <v>244</v>
      </c>
      <c r="D130" s="97">
        <v>226</v>
      </c>
      <c r="E130" s="70">
        <f t="shared" si="90"/>
        <v>0</v>
      </c>
      <c r="F130" s="56"/>
      <c r="G130" s="70"/>
      <c r="H130" s="56">
        <v>0</v>
      </c>
      <c r="I130" s="93"/>
      <c r="J130" s="70"/>
      <c r="K130" s="70"/>
      <c r="L130" s="70"/>
      <c r="M130" s="70">
        <f>+O130+P130+R130+S130+T130</f>
        <v>64000</v>
      </c>
      <c r="N130" s="70"/>
      <c r="O130" s="56"/>
      <c r="P130" s="56">
        <v>64000</v>
      </c>
      <c r="Q130" s="56"/>
      <c r="R130" s="56"/>
      <c r="S130" s="56"/>
      <c r="T130" s="56"/>
      <c r="U130" s="70">
        <f t="shared" ref="U130" si="113">V130+W130+X130+AB130+Z130+AA130</f>
        <v>64000</v>
      </c>
      <c r="V130" s="143">
        <f t="shared" ref="V130" si="114">F130+N130</f>
        <v>0</v>
      </c>
      <c r="W130" s="143">
        <f t="shared" ref="W130" si="115">G130+O130</f>
        <v>0</v>
      </c>
      <c r="X130" s="136">
        <f t="shared" ref="X130" si="116">H130+P130</f>
        <v>64000</v>
      </c>
      <c r="Y130" s="143"/>
      <c r="Z130" s="143">
        <f t="shared" ref="Z130" si="117">J130+R130</f>
        <v>0</v>
      </c>
      <c r="AA130" s="143">
        <f t="shared" ref="AA130" si="118">K130+S130</f>
        <v>0</v>
      </c>
      <c r="AB130" s="143">
        <f t="shared" ref="AB130" si="119">L130+T130</f>
        <v>0</v>
      </c>
      <c r="AC130" s="116"/>
      <c r="AD130" s="98"/>
      <c r="AE130" s="98"/>
    </row>
    <row r="131" spans="1:31" s="38" customFormat="1" ht="43.5" customHeight="1" x14ac:dyDescent="0.2">
      <c r="A131" s="43" t="s">
        <v>194</v>
      </c>
      <c r="B131" s="96" t="s">
        <v>56</v>
      </c>
      <c r="C131" s="97">
        <v>244</v>
      </c>
      <c r="D131" s="97">
        <v>226</v>
      </c>
      <c r="E131" s="70">
        <f t="shared" ref="E131" si="120">SUM(G131+H131+J131+K131+L131)+F131</f>
        <v>0</v>
      </c>
      <c r="F131" s="56"/>
      <c r="G131" s="70"/>
      <c r="H131" s="56">
        <v>0</v>
      </c>
      <c r="I131" s="93"/>
      <c r="J131" s="70"/>
      <c r="K131" s="70"/>
      <c r="L131" s="70"/>
      <c r="M131" s="70">
        <f>+O131+P131+R131+S131+T131</f>
        <v>20000</v>
      </c>
      <c r="N131" s="70"/>
      <c r="O131" s="56"/>
      <c r="P131" s="56">
        <v>20000</v>
      </c>
      <c r="Q131" s="56"/>
      <c r="R131" s="56"/>
      <c r="S131" s="56"/>
      <c r="T131" s="56"/>
      <c r="U131" s="70">
        <f t="shared" ref="U131" si="121">V131+W131+X131+AB131+Z131+AA131</f>
        <v>20000</v>
      </c>
      <c r="V131" s="143">
        <f t="shared" ref="V131" si="122">F131+N131</f>
        <v>0</v>
      </c>
      <c r="W131" s="143">
        <f t="shared" ref="W131" si="123">G131+O131</f>
        <v>0</v>
      </c>
      <c r="X131" s="136">
        <f t="shared" ref="X131" si="124">H131+P131</f>
        <v>20000</v>
      </c>
      <c r="Y131" s="143"/>
      <c r="Z131" s="143">
        <f t="shared" ref="Z131" si="125">J131+R131</f>
        <v>0</v>
      </c>
      <c r="AA131" s="143">
        <f t="shared" ref="AA131" si="126">K131+S131</f>
        <v>0</v>
      </c>
      <c r="AB131" s="143">
        <f t="shared" ref="AB131" si="127">L131+T131</f>
        <v>0</v>
      </c>
      <c r="AC131" s="116"/>
      <c r="AD131" s="98"/>
      <c r="AE131" s="98"/>
    </row>
    <row r="132" spans="1:31" s="38" customFormat="1" ht="31.5" customHeight="1" x14ac:dyDescent="0.2">
      <c r="A132" s="43" t="s">
        <v>101</v>
      </c>
      <c r="B132" s="96" t="s">
        <v>56</v>
      </c>
      <c r="C132" s="97">
        <v>244</v>
      </c>
      <c r="D132" s="97">
        <v>226</v>
      </c>
      <c r="E132" s="70">
        <f t="shared" si="90"/>
        <v>95461.28</v>
      </c>
      <c r="F132" s="56"/>
      <c r="G132" s="70"/>
      <c r="H132" s="56">
        <v>95461.28</v>
      </c>
      <c r="I132" s="93"/>
      <c r="J132" s="70"/>
      <c r="K132" s="70"/>
      <c r="L132" s="70"/>
      <c r="M132" s="70">
        <f t="shared" si="91"/>
        <v>0</v>
      </c>
      <c r="N132" s="70"/>
      <c r="O132" s="56"/>
      <c r="P132" s="56"/>
      <c r="Q132" s="56"/>
      <c r="R132" s="56"/>
      <c r="S132" s="56"/>
      <c r="T132" s="56"/>
      <c r="U132" s="70">
        <f t="shared" si="92"/>
        <v>95461.28</v>
      </c>
      <c r="V132" s="143">
        <f t="shared" si="88"/>
        <v>0</v>
      </c>
      <c r="W132" s="143">
        <f t="shared" si="88"/>
        <v>0</v>
      </c>
      <c r="X132" s="136">
        <f t="shared" si="88"/>
        <v>95461.28</v>
      </c>
      <c r="Y132" s="143"/>
      <c r="Z132" s="143">
        <f t="shared" si="89"/>
        <v>0</v>
      </c>
      <c r="AA132" s="143">
        <f t="shared" si="87"/>
        <v>0</v>
      </c>
      <c r="AB132" s="143">
        <f t="shared" si="87"/>
        <v>0</v>
      </c>
      <c r="AC132" s="116"/>
      <c r="AD132" s="98"/>
      <c r="AE132" s="98"/>
    </row>
    <row r="133" spans="1:31" s="38" customFormat="1" ht="36.75" customHeight="1" x14ac:dyDescent="0.2">
      <c r="A133" s="43" t="s">
        <v>148</v>
      </c>
      <c r="B133" s="96" t="s">
        <v>58</v>
      </c>
      <c r="C133" s="97">
        <v>244</v>
      </c>
      <c r="D133" s="97">
        <v>226</v>
      </c>
      <c r="E133" s="70">
        <f t="shared" si="90"/>
        <v>11480</v>
      </c>
      <c r="F133" s="56"/>
      <c r="G133" s="70"/>
      <c r="H133" s="56">
        <v>11480</v>
      </c>
      <c r="I133" s="93"/>
      <c r="J133" s="70"/>
      <c r="K133" s="70"/>
      <c r="L133" s="70"/>
      <c r="M133" s="70">
        <f t="shared" si="91"/>
        <v>0</v>
      </c>
      <c r="N133" s="70"/>
      <c r="O133" s="56"/>
      <c r="P133" s="56"/>
      <c r="Q133" s="56"/>
      <c r="R133" s="56"/>
      <c r="S133" s="56"/>
      <c r="T133" s="56"/>
      <c r="U133" s="70">
        <f t="shared" si="92"/>
        <v>11480</v>
      </c>
      <c r="V133" s="143">
        <f t="shared" si="88"/>
        <v>0</v>
      </c>
      <c r="W133" s="143">
        <f t="shared" si="88"/>
        <v>0</v>
      </c>
      <c r="X133" s="136">
        <f t="shared" si="88"/>
        <v>11480</v>
      </c>
      <c r="Y133" s="143"/>
      <c r="Z133" s="143">
        <f t="shared" si="89"/>
        <v>0</v>
      </c>
      <c r="AA133" s="143">
        <f t="shared" si="87"/>
        <v>0</v>
      </c>
      <c r="AB133" s="143">
        <f t="shared" si="87"/>
        <v>0</v>
      </c>
      <c r="AC133" s="116"/>
      <c r="AD133" s="98"/>
      <c r="AE133" s="98"/>
    </row>
    <row r="134" spans="1:31" s="38" customFormat="1" ht="38.25" customHeight="1" x14ac:dyDescent="0.2">
      <c r="A134" s="43" t="s">
        <v>137</v>
      </c>
      <c r="B134" s="96" t="s">
        <v>58</v>
      </c>
      <c r="C134" s="97">
        <v>244</v>
      </c>
      <c r="D134" s="97">
        <v>226</v>
      </c>
      <c r="E134" s="70">
        <f t="shared" ref="E134:E135" si="128">SUM(G134+H134+J134+K134+L134)+F134</f>
        <v>2700</v>
      </c>
      <c r="F134" s="56"/>
      <c r="G134" s="70"/>
      <c r="H134" s="56">
        <v>2700</v>
      </c>
      <c r="I134" s="93"/>
      <c r="J134" s="70"/>
      <c r="K134" s="70"/>
      <c r="L134" s="70"/>
      <c r="M134" s="70">
        <f t="shared" si="91"/>
        <v>0</v>
      </c>
      <c r="N134" s="70"/>
      <c r="O134" s="56"/>
      <c r="P134" s="56"/>
      <c r="Q134" s="56"/>
      <c r="R134" s="56"/>
      <c r="S134" s="56"/>
      <c r="T134" s="56"/>
      <c r="U134" s="70">
        <f t="shared" si="92"/>
        <v>2700</v>
      </c>
      <c r="V134" s="143">
        <f t="shared" si="88"/>
        <v>0</v>
      </c>
      <c r="W134" s="143">
        <f t="shared" si="88"/>
        <v>0</v>
      </c>
      <c r="X134" s="143">
        <f t="shared" si="88"/>
        <v>2700</v>
      </c>
      <c r="Y134" s="143"/>
      <c r="Z134" s="143">
        <f t="shared" si="89"/>
        <v>0</v>
      </c>
      <c r="AA134" s="143">
        <f t="shared" si="87"/>
        <v>0</v>
      </c>
      <c r="AB134" s="143">
        <f t="shared" si="87"/>
        <v>0</v>
      </c>
      <c r="AC134" s="116"/>
      <c r="AD134" s="98"/>
      <c r="AE134" s="98"/>
    </row>
    <row r="135" spans="1:31" s="38" customFormat="1" ht="45.75" customHeight="1" x14ac:dyDescent="0.2">
      <c r="A135" s="43" t="s">
        <v>136</v>
      </c>
      <c r="B135" s="96" t="s">
        <v>58</v>
      </c>
      <c r="C135" s="97">
        <v>244</v>
      </c>
      <c r="D135" s="97">
        <v>226</v>
      </c>
      <c r="E135" s="70">
        <f t="shared" si="128"/>
        <v>2460</v>
      </c>
      <c r="F135" s="56"/>
      <c r="G135" s="70"/>
      <c r="H135" s="56">
        <v>2460</v>
      </c>
      <c r="I135" s="93"/>
      <c r="J135" s="70"/>
      <c r="K135" s="70"/>
      <c r="L135" s="70"/>
      <c r="M135" s="70">
        <f t="shared" si="91"/>
        <v>0</v>
      </c>
      <c r="N135" s="70"/>
      <c r="O135" s="56"/>
      <c r="P135" s="56"/>
      <c r="Q135" s="56"/>
      <c r="R135" s="56"/>
      <c r="S135" s="56"/>
      <c r="T135" s="56"/>
      <c r="U135" s="70">
        <f t="shared" si="92"/>
        <v>2460</v>
      </c>
      <c r="V135" s="143">
        <f t="shared" si="88"/>
        <v>0</v>
      </c>
      <c r="W135" s="143">
        <f t="shared" si="88"/>
        <v>0</v>
      </c>
      <c r="X135" s="143">
        <f t="shared" si="88"/>
        <v>2460</v>
      </c>
      <c r="Y135" s="143"/>
      <c r="Z135" s="143">
        <f t="shared" si="89"/>
        <v>0</v>
      </c>
      <c r="AA135" s="143">
        <f t="shared" si="87"/>
        <v>0</v>
      </c>
      <c r="AB135" s="143">
        <f t="shared" si="87"/>
        <v>0</v>
      </c>
      <c r="AC135" s="116"/>
      <c r="AD135" s="98"/>
      <c r="AE135" s="98"/>
    </row>
    <row r="136" spans="1:31" s="38" customFormat="1" ht="33" customHeight="1" x14ac:dyDescent="0.2">
      <c r="A136" s="43" t="s">
        <v>167</v>
      </c>
      <c r="B136" s="96" t="s">
        <v>58</v>
      </c>
      <c r="C136" s="97">
        <v>244</v>
      </c>
      <c r="D136" s="97">
        <v>226</v>
      </c>
      <c r="E136" s="70"/>
      <c r="F136" s="56"/>
      <c r="G136" s="70"/>
      <c r="H136" s="56"/>
      <c r="I136" s="93"/>
      <c r="J136" s="70"/>
      <c r="K136" s="70"/>
      <c r="L136" s="70"/>
      <c r="M136" s="70">
        <f t="shared" si="91"/>
        <v>10000</v>
      </c>
      <c r="N136" s="70"/>
      <c r="O136" s="56">
        <v>10000</v>
      </c>
      <c r="P136" s="56"/>
      <c r="Q136" s="56"/>
      <c r="R136" s="56"/>
      <c r="S136" s="56"/>
      <c r="T136" s="56"/>
      <c r="U136" s="70">
        <f t="shared" ref="U136" si="129">V136+W136+X136+AB136+Z136+AA136</f>
        <v>10000</v>
      </c>
      <c r="V136" s="143">
        <f t="shared" ref="V136" si="130">F136+N136</f>
        <v>0</v>
      </c>
      <c r="W136" s="143">
        <f t="shared" ref="W136" si="131">G136+O136</f>
        <v>10000</v>
      </c>
      <c r="X136" s="143">
        <f t="shared" ref="X136" si="132">H136+P136</f>
        <v>0</v>
      </c>
      <c r="Y136" s="143"/>
      <c r="Z136" s="143"/>
      <c r="AA136" s="143"/>
      <c r="AB136" s="143"/>
      <c r="AC136" s="116"/>
      <c r="AD136" s="98"/>
      <c r="AE136" s="98"/>
    </row>
    <row r="137" spans="1:31" s="98" customFormat="1" ht="30.75" customHeight="1" x14ac:dyDescent="0.25">
      <c r="A137" s="115" t="s">
        <v>135</v>
      </c>
      <c r="B137" s="96" t="s">
        <v>58</v>
      </c>
      <c r="C137" s="97">
        <v>244</v>
      </c>
      <c r="D137" s="97">
        <v>226</v>
      </c>
      <c r="E137" s="70">
        <f t="shared" si="90"/>
        <v>4200</v>
      </c>
      <c r="F137" s="56"/>
      <c r="G137" s="56"/>
      <c r="H137" s="56">
        <v>4200</v>
      </c>
      <c r="I137" s="93"/>
      <c r="J137" s="70"/>
      <c r="K137" s="70"/>
      <c r="L137" s="70"/>
      <c r="M137" s="70">
        <f t="shared" si="91"/>
        <v>0</v>
      </c>
      <c r="N137" s="70"/>
      <c r="O137" s="56"/>
      <c r="P137" s="56"/>
      <c r="Q137" s="56"/>
      <c r="R137" s="56"/>
      <c r="S137" s="56"/>
      <c r="T137" s="56"/>
      <c r="U137" s="70">
        <f t="shared" si="92"/>
        <v>4200</v>
      </c>
      <c r="V137" s="143">
        <f t="shared" si="88"/>
        <v>0</v>
      </c>
      <c r="W137" s="143">
        <f t="shared" si="88"/>
        <v>0</v>
      </c>
      <c r="X137" s="143">
        <f t="shared" si="88"/>
        <v>4200</v>
      </c>
      <c r="Y137" s="143"/>
      <c r="Z137" s="143">
        <f t="shared" si="89"/>
        <v>0</v>
      </c>
      <c r="AA137" s="143">
        <f t="shared" si="87"/>
        <v>0</v>
      </c>
      <c r="AB137" s="143">
        <f t="shared" si="87"/>
        <v>0</v>
      </c>
      <c r="AC137" s="116"/>
    </row>
    <row r="138" spans="1:31" s="38" customFormat="1" ht="1.5" customHeight="1" x14ac:dyDescent="0.2">
      <c r="A138" s="43"/>
      <c r="B138" s="96"/>
      <c r="C138" s="97">
        <v>244</v>
      </c>
      <c r="D138" s="97">
        <v>226</v>
      </c>
      <c r="E138" s="70">
        <f t="shared" si="90"/>
        <v>0</v>
      </c>
      <c r="F138" s="56"/>
      <c r="G138" s="56"/>
      <c r="H138" s="56"/>
      <c r="I138" s="93"/>
      <c r="J138" s="70"/>
      <c r="K138" s="56"/>
      <c r="L138" s="70"/>
      <c r="M138" s="70">
        <f t="shared" si="91"/>
        <v>0</v>
      </c>
      <c r="N138" s="70"/>
      <c r="O138" s="56"/>
      <c r="P138" s="56"/>
      <c r="Q138" s="56"/>
      <c r="R138" s="56"/>
      <c r="S138" s="56"/>
      <c r="T138" s="56"/>
      <c r="U138" s="70">
        <f t="shared" si="92"/>
        <v>0</v>
      </c>
      <c r="V138" s="143">
        <f t="shared" si="88"/>
        <v>0</v>
      </c>
      <c r="W138" s="143">
        <f t="shared" si="88"/>
        <v>0</v>
      </c>
      <c r="X138" s="143">
        <f t="shared" si="88"/>
        <v>0</v>
      </c>
      <c r="Y138" s="143"/>
      <c r="Z138" s="143">
        <f t="shared" si="89"/>
        <v>0</v>
      </c>
      <c r="AA138" s="143">
        <f t="shared" si="87"/>
        <v>0</v>
      </c>
      <c r="AB138" s="143">
        <f t="shared" si="87"/>
        <v>0</v>
      </c>
      <c r="AC138" s="116"/>
      <c r="AD138" s="98"/>
      <c r="AE138" s="98"/>
    </row>
    <row r="139" spans="1:31" s="50" customFormat="1" x14ac:dyDescent="0.25">
      <c r="A139" s="119" t="s">
        <v>38</v>
      </c>
      <c r="B139" s="120"/>
      <c r="C139" s="118"/>
      <c r="D139" s="118"/>
      <c r="E139" s="70">
        <f t="shared" si="90"/>
        <v>1190450.1200000001</v>
      </c>
      <c r="F139" s="70"/>
      <c r="G139" s="70">
        <f>SUM(G113:G138)</f>
        <v>0</v>
      </c>
      <c r="H139" s="70">
        <f>SUM(H113:H138)</f>
        <v>1150512.29</v>
      </c>
      <c r="I139" s="121"/>
      <c r="J139" s="70">
        <f>SUM(J119:J138)</f>
        <v>0</v>
      </c>
      <c r="K139" s="70">
        <f>SUM(K119:K138)</f>
        <v>0</v>
      </c>
      <c r="L139" s="70">
        <f>SUM(L113:L138)</f>
        <v>39937.83</v>
      </c>
      <c r="M139" s="70">
        <f t="shared" si="91"/>
        <v>0</v>
      </c>
      <c r="N139" s="70"/>
      <c r="O139" s="56"/>
      <c r="P139" s="56"/>
      <c r="Q139" s="56"/>
      <c r="R139" s="56"/>
      <c r="S139" s="56"/>
      <c r="T139" s="56"/>
      <c r="U139" s="70">
        <f t="shared" si="92"/>
        <v>1190450.1200000001</v>
      </c>
      <c r="V139" s="143">
        <f t="shared" si="88"/>
        <v>0</v>
      </c>
      <c r="W139" s="143">
        <f t="shared" si="88"/>
        <v>0</v>
      </c>
      <c r="X139" s="143">
        <f t="shared" si="88"/>
        <v>1150512.29</v>
      </c>
      <c r="Y139" s="143">
        <f t="shared" si="88"/>
        <v>0</v>
      </c>
      <c r="Z139" s="143">
        <f t="shared" si="89"/>
        <v>0</v>
      </c>
      <c r="AA139" s="143">
        <f t="shared" si="87"/>
        <v>0</v>
      </c>
      <c r="AB139" s="143">
        <f t="shared" si="87"/>
        <v>39937.83</v>
      </c>
      <c r="AC139" s="97"/>
      <c r="AD139" s="150"/>
      <c r="AE139" s="150"/>
    </row>
    <row r="140" spans="1:31" s="38" customFormat="1" ht="102.75" customHeight="1" x14ac:dyDescent="0.25">
      <c r="A140" s="116" t="s">
        <v>96</v>
      </c>
      <c r="B140" s="96" t="s">
        <v>59</v>
      </c>
      <c r="C140" s="97">
        <v>244</v>
      </c>
      <c r="D140" s="97">
        <v>227</v>
      </c>
      <c r="E140" s="70">
        <f t="shared" si="90"/>
        <v>1086.43</v>
      </c>
      <c r="F140" s="56"/>
      <c r="G140" s="56"/>
      <c r="H140" s="56">
        <v>964.87</v>
      </c>
      <c r="I140" s="93"/>
      <c r="J140" s="56"/>
      <c r="K140" s="56"/>
      <c r="L140" s="56">
        <v>121.56</v>
      </c>
      <c r="M140" s="70">
        <f>+O140+P140+R140+S140+T140</f>
        <v>131.57</v>
      </c>
      <c r="N140" s="70"/>
      <c r="O140" s="56">
        <v>131.57</v>
      </c>
      <c r="P140" s="70"/>
      <c r="Q140" s="70"/>
      <c r="R140" s="70"/>
      <c r="S140" s="70"/>
      <c r="T140" s="70"/>
      <c r="U140" s="70">
        <f t="shared" si="92"/>
        <v>1218</v>
      </c>
      <c r="V140" s="146">
        <f t="shared" si="88"/>
        <v>0</v>
      </c>
      <c r="W140" s="146">
        <f t="shared" si="88"/>
        <v>131.57</v>
      </c>
      <c r="X140" s="146">
        <f t="shared" si="88"/>
        <v>964.87</v>
      </c>
      <c r="Y140" s="146"/>
      <c r="Z140" s="146">
        <f t="shared" si="89"/>
        <v>0</v>
      </c>
      <c r="AA140" s="146">
        <f t="shared" si="87"/>
        <v>0</v>
      </c>
      <c r="AB140" s="146">
        <f t="shared" si="87"/>
        <v>121.56</v>
      </c>
      <c r="AC140" s="116" t="s">
        <v>164</v>
      </c>
      <c r="AD140" s="98"/>
      <c r="AE140" s="98"/>
    </row>
    <row r="141" spans="1:31" s="50" customFormat="1" x14ac:dyDescent="0.25">
      <c r="A141" s="119" t="s">
        <v>52</v>
      </c>
      <c r="B141" s="120"/>
      <c r="C141" s="118"/>
      <c r="D141" s="118"/>
      <c r="E141" s="70">
        <f t="shared" si="90"/>
        <v>1086.43</v>
      </c>
      <c r="F141" s="70">
        <f t="shared" ref="F141" si="133">F140</f>
        <v>0</v>
      </c>
      <c r="G141" s="70">
        <f>G140</f>
        <v>0</v>
      </c>
      <c r="H141" s="70">
        <f>H140</f>
        <v>964.87</v>
      </c>
      <c r="I141" s="121"/>
      <c r="J141" s="70">
        <f t="shared" ref="J141:L141" si="134">SUM(J140)</f>
        <v>0</v>
      </c>
      <c r="K141" s="70">
        <f t="shared" si="134"/>
        <v>0</v>
      </c>
      <c r="L141" s="70">
        <f t="shared" si="134"/>
        <v>121.56</v>
      </c>
      <c r="M141" s="70">
        <f t="shared" si="91"/>
        <v>0</v>
      </c>
      <c r="N141" s="70"/>
      <c r="O141" s="56"/>
      <c r="P141" s="56"/>
      <c r="Q141" s="56"/>
      <c r="R141" s="56"/>
      <c r="S141" s="56"/>
      <c r="T141" s="56"/>
      <c r="U141" s="70">
        <f t="shared" si="92"/>
        <v>1086.43</v>
      </c>
      <c r="V141" s="143">
        <f t="shared" si="88"/>
        <v>0</v>
      </c>
      <c r="W141" s="143">
        <f t="shared" si="88"/>
        <v>0</v>
      </c>
      <c r="X141" s="143">
        <f t="shared" si="88"/>
        <v>964.87</v>
      </c>
      <c r="Y141" s="143"/>
      <c r="Z141" s="143">
        <f t="shared" si="89"/>
        <v>0</v>
      </c>
      <c r="AA141" s="143">
        <f t="shared" si="87"/>
        <v>0</v>
      </c>
      <c r="AB141" s="136">
        <f>L141+T141</f>
        <v>121.56</v>
      </c>
      <c r="AC141" s="116"/>
      <c r="AD141" s="150"/>
      <c r="AE141" s="150"/>
    </row>
    <row r="142" spans="1:31" s="50" customFormat="1" ht="38.25" x14ac:dyDescent="0.25">
      <c r="A142" s="116" t="s">
        <v>171</v>
      </c>
      <c r="B142" s="96" t="s">
        <v>56</v>
      </c>
      <c r="C142" s="97">
        <v>244</v>
      </c>
      <c r="D142" s="97">
        <v>310</v>
      </c>
      <c r="E142" s="70"/>
      <c r="F142" s="70"/>
      <c r="G142" s="70"/>
      <c r="H142" s="70"/>
      <c r="I142" s="121"/>
      <c r="J142" s="70"/>
      <c r="K142" s="70"/>
      <c r="L142" s="70"/>
      <c r="M142" s="70">
        <f>+O142+P142+R142+S142+T142</f>
        <v>0</v>
      </c>
      <c r="N142" s="70"/>
      <c r="O142" s="56"/>
      <c r="P142" s="56"/>
      <c r="Q142" s="56"/>
      <c r="R142" s="56"/>
      <c r="S142" s="56"/>
      <c r="T142" s="56"/>
      <c r="U142" s="70">
        <f t="shared" si="92"/>
        <v>0</v>
      </c>
      <c r="V142" s="146">
        <f t="shared" ref="V142:V143" si="135">F142+N142</f>
        <v>0</v>
      </c>
      <c r="W142" s="146">
        <f t="shared" ref="W142:W143" si="136">G142+O142</f>
        <v>0</v>
      </c>
      <c r="X142" s="146">
        <f t="shared" ref="X142:X143" si="137">H142+P142</f>
        <v>0</v>
      </c>
      <c r="Y142" s="146"/>
      <c r="Z142" s="146">
        <f t="shared" ref="Z142:Z143" si="138">J142+R142</f>
        <v>0</v>
      </c>
      <c r="AA142" s="146">
        <f t="shared" ref="AA142:AA143" si="139">K142+S142</f>
        <v>0</v>
      </c>
      <c r="AB142" s="146">
        <f t="shared" ref="AB142:AB143" si="140">L142+T142</f>
        <v>0</v>
      </c>
      <c r="AC142" s="116" t="s">
        <v>176</v>
      </c>
      <c r="AD142" s="150"/>
      <c r="AE142" s="150"/>
    </row>
    <row r="143" spans="1:31" s="50" customFormat="1" ht="38.25" x14ac:dyDescent="0.25">
      <c r="A143" s="116" t="s">
        <v>170</v>
      </c>
      <c r="B143" s="96" t="s">
        <v>56</v>
      </c>
      <c r="C143" s="97">
        <v>244</v>
      </c>
      <c r="D143" s="97">
        <v>310</v>
      </c>
      <c r="E143" s="70"/>
      <c r="F143" s="70"/>
      <c r="G143" s="70"/>
      <c r="H143" s="70"/>
      <c r="I143" s="121"/>
      <c r="J143" s="70"/>
      <c r="K143" s="70"/>
      <c r="L143" s="70"/>
      <c r="M143" s="70">
        <f>+O143+P143+R143+S143+T143</f>
        <v>0</v>
      </c>
      <c r="N143" s="70"/>
      <c r="O143" s="56"/>
      <c r="P143" s="56"/>
      <c r="Q143" s="56"/>
      <c r="R143" s="56"/>
      <c r="S143" s="56"/>
      <c r="T143" s="56"/>
      <c r="U143" s="70">
        <f t="shared" si="92"/>
        <v>0</v>
      </c>
      <c r="V143" s="146">
        <f t="shared" si="135"/>
        <v>0</v>
      </c>
      <c r="W143" s="146">
        <f t="shared" si="136"/>
        <v>0</v>
      </c>
      <c r="X143" s="146">
        <f t="shared" si="137"/>
        <v>0</v>
      </c>
      <c r="Y143" s="146"/>
      <c r="Z143" s="146">
        <f t="shared" si="138"/>
        <v>0</v>
      </c>
      <c r="AA143" s="146">
        <f t="shared" si="139"/>
        <v>0</v>
      </c>
      <c r="AB143" s="146">
        <f t="shared" si="140"/>
        <v>0</v>
      </c>
      <c r="AC143" s="116" t="s">
        <v>176</v>
      </c>
      <c r="AD143" s="150"/>
      <c r="AE143" s="150"/>
    </row>
    <row r="144" spans="1:31" s="38" customFormat="1" ht="25.5" x14ac:dyDescent="0.25">
      <c r="A144" s="116" t="s">
        <v>168</v>
      </c>
      <c r="B144" s="96" t="s">
        <v>56</v>
      </c>
      <c r="C144" s="97">
        <v>244</v>
      </c>
      <c r="D144" s="97">
        <v>310</v>
      </c>
      <c r="E144" s="70">
        <f t="shared" si="90"/>
        <v>0</v>
      </c>
      <c r="F144" s="56"/>
      <c r="G144" s="56"/>
      <c r="H144" s="56">
        <v>0</v>
      </c>
      <c r="I144" s="93"/>
      <c r="J144" s="70"/>
      <c r="K144" s="56"/>
      <c r="L144" s="70"/>
      <c r="M144" s="70">
        <f>+O144+P144+R144+S144+T144</f>
        <v>35160</v>
      </c>
      <c r="N144" s="70">
        <f t="shared" ref="N144:T144" si="141">SUM(N141)</f>
        <v>0</v>
      </c>
      <c r="O144" s="70">
        <f t="shared" si="141"/>
        <v>0</v>
      </c>
      <c r="P144" s="70">
        <v>35160</v>
      </c>
      <c r="Q144" s="70">
        <f t="shared" si="141"/>
        <v>0</v>
      </c>
      <c r="R144" s="70">
        <f t="shared" si="141"/>
        <v>0</v>
      </c>
      <c r="S144" s="70">
        <f t="shared" si="141"/>
        <v>0</v>
      </c>
      <c r="T144" s="70">
        <f t="shared" si="141"/>
        <v>0</v>
      </c>
      <c r="U144" s="70">
        <f t="shared" si="92"/>
        <v>35160</v>
      </c>
      <c r="V144" s="146">
        <f t="shared" si="88"/>
        <v>0</v>
      </c>
      <c r="W144" s="146">
        <f t="shared" si="88"/>
        <v>0</v>
      </c>
      <c r="X144" s="146">
        <f t="shared" si="88"/>
        <v>35160</v>
      </c>
      <c r="Y144" s="146"/>
      <c r="Z144" s="146">
        <f t="shared" si="89"/>
        <v>0</v>
      </c>
      <c r="AA144" s="146">
        <f t="shared" si="87"/>
        <v>0</v>
      </c>
      <c r="AB144" s="146">
        <f t="shared" si="87"/>
        <v>0</v>
      </c>
      <c r="AC144" s="119"/>
      <c r="AD144" s="98"/>
      <c r="AE144" s="98"/>
    </row>
    <row r="145" spans="1:31" s="38" customFormat="1" ht="111" customHeight="1" x14ac:dyDescent="0.25">
      <c r="A145" s="116" t="s">
        <v>157</v>
      </c>
      <c r="B145" s="96" t="s">
        <v>58</v>
      </c>
      <c r="C145" s="97">
        <v>244</v>
      </c>
      <c r="D145" s="97">
        <v>310</v>
      </c>
      <c r="E145" s="70">
        <f t="shared" si="90"/>
        <v>0</v>
      </c>
      <c r="F145" s="56"/>
      <c r="G145" s="70"/>
      <c r="H145" s="70"/>
      <c r="I145" s="93"/>
      <c r="J145" s="70"/>
      <c r="K145" s="56"/>
      <c r="L145" s="70"/>
      <c r="M145" s="70">
        <f t="shared" si="91"/>
        <v>300000</v>
      </c>
      <c r="N145" s="70"/>
      <c r="O145" s="56">
        <v>300000</v>
      </c>
      <c r="P145" s="56"/>
      <c r="Q145" s="56"/>
      <c r="R145" s="56"/>
      <c r="S145" s="56"/>
      <c r="T145" s="56"/>
      <c r="U145" s="70">
        <f t="shared" si="92"/>
        <v>300000</v>
      </c>
      <c r="V145" s="143">
        <f t="shared" si="88"/>
        <v>0</v>
      </c>
      <c r="W145" s="143">
        <f t="shared" si="88"/>
        <v>300000</v>
      </c>
      <c r="X145" s="143">
        <f t="shared" si="88"/>
        <v>0</v>
      </c>
      <c r="Y145" s="143"/>
      <c r="Z145" s="143">
        <f t="shared" si="89"/>
        <v>0</v>
      </c>
      <c r="AA145" s="143">
        <f t="shared" si="89"/>
        <v>0</v>
      </c>
      <c r="AB145" s="143">
        <f t="shared" si="89"/>
        <v>0</v>
      </c>
      <c r="AC145" s="116" t="s">
        <v>160</v>
      </c>
      <c r="AD145" s="98"/>
      <c r="AE145" s="98"/>
    </row>
    <row r="146" spans="1:31" s="50" customFormat="1" ht="27" customHeight="1" x14ac:dyDescent="0.25">
      <c r="A146" s="119" t="s">
        <v>39</v>
      </c>
      <c r="B146" s="120"/>
      <c r="C146" s="118"/>
      <c r="D146" s="118"/>
      <c r="E146" s="70">
        <f>SUM(G146+H146+J146+K146+L146)+F146</f>
        <v>0</v>
      </c>
      <c r="F146" s="70"/>
      <c r="G146" s="70">
        <f>SUM(G144:G145)</f>
        <v>0</v>
      </c>
      <c r="H146" s="70">
        <f>SUM(H144:H145)</f>
        <v>0</v>
      </c>
      <c r="I146" s="121"/>
      <c r="J146" s="70"/>
      <c r="K146" s="70">
        <f>K144</f>
        <v>0</v>
      </c>
      <c r="L146" s="70">
        <f>L144</f>
        <v>0</v>
      </c>
      <c r="M146" s="70">
        <f t="shared" si="91"/>
        <v>0</v>
      </c>
      <c r="N146" s="70"/>
      <c r="O146" s="56"/>
      <c r="P146" s="56"/>
      <c r="Q146" s="56"/>
      <c r="R146" s="56"/>
      <c r="S146" s="56"/>
      <c r="T146" s="56"/>
      <c r="U146" s="70">
        <f t="shared" si="92"/>
        <v>0</v>
      </c>
      <c r="V146" s="143">
        <f t="shared" ref="V146:Y164" si="142">F146+N146</f>
        <v>0</v>
      </c>
      <c r="W146" s="143">
        <f t="shared" si="142"/>
        <v>0</v>
      </c>
      <c r="X146" s="143">
        <f t="shared" si="142"/>
        <v>0</v>
      </c>
      <c r="Y146" s="143"/>
      <c r="Z146" s="143">
        <f t="shared" ref="Z146:AB164" si="143">J146+R146</f>
        <v>0</v>
      </c>
      <c r="AA146" s="143">
        <f t="shared" si="143"/>
        <v>0</v>
      </c>
      <c r="AB146" s="143">
        <f t="shared" si="143"/>
        <v>0</v>
      </c>
      <c r="AC146" s="116"/>
      <c r="AD146" s="150"/>
      <c r="AE146" s="150"/>
    </row>
    <row r="147" spans="1:31" s="38" customFormat="1" ht="0.75" customHeight="1" x14ac:dyDescent="0.25">
      <c r="A147" s="116" t="s">
        <v>75</v>
      </c>
      <c r="B147" s="96" t="s">
        <v>56</v>
      </c>
      <c r="C147" s="97">
        <v>244</v>
      </c>
      <c r="D147" s="97">
        <v>342</v>
      </c>
      <c r="E147" s="70">
        <f t="shared" si="90"/>
        <v>0</v>
      </c>
      <c r="F147" s="56"/>
      <c r="G147" s="56"/>
      <c r="H147" s="56"/>
      <c r="I147" s="93"/>
      <c r="J147" s="70"/>
      <c r="K147" s="56"/>
      <c r="L147" s="56">
        <v>0</v>
      </c>
      <c r="M147" s="70">
        <f>+O147+P147+R147+S147+T147</f>
        <v>300000</v>
      </c>
      <c r="N147" s="70">
        <f t="shared" ref="N147:T147" si="144">SUM(N145:N146)</f>
        <v>0</v>
      </c>
      <c r="O147" s="70">
        <f t="shared" si="144"/>
        <v>300000</v>
      </c>
      <c r="P147" s="70">
        <f t="shared" si="144"/>
        <v>0</v>
      </c>
      <c r="Q147" s="70">
        <f t="shared" si="144"/>
        <v>0</v>
      </c>
      <c r="R147" s="70">
        <f t="shared" si="144"/>
        <v>0</v>
      </c>
      <c r="S147" s="70">
        <f t="shared" si="144"/>
        <v>0</v>
      </c>
      <c r="T147" s="70">
        <f t="shared" si="144"/>
        <v>0</v>
      </c>
      <c r="U147" s="70">
        <f>V147+W147+X147+AB147+Z147+AA147</f>
        <v>300000</v>
      </c>
      <c r="V147" s="146">
        <f t="shared" si="142"/>
        <v>0</v>
      </c>
      <c r="W147" s="133">
        <f>G147+O147</f>
        <v>300000</v>
      </c>
      <c r="X147" s="133">
        <f>H147+P147</f>
        <v>0</v>
      </c>
      <c r="Y147" s="146"/>
      <c r="Z147" s="146">
        <f t="shared" si="143"/>
        <v>0</v>
      </c>
      <c r="AA147" s="146">
        <f t="shared" si="143"/>
        <v>0</v>
      </c>
      <c r="AB147" s="146">
        <f t="shared" si="143"/>
        <v>0</v>
      </c>
      <c r="AC147" s="119"/>
      <c r="AD147" s="98"/>
      <c r="AE147" s="98"/>
    </row>
    <row r="148" spans="1:31" s="38" customFormat="1" ht="51" customHeight="1" x14ac:dyDescent="0.25">
      <c r="A148" s="116" t="s">
        <v>142</v>
      </c>
      <c r="B148" s="96" t="s">
        <v>56</v>
      </c>
      <c r="C148" s="97">
        <v>244</v>
      </c>
      <c r="D148" s="97">
        <v>342</v>
      </c>
      <c r="E148" s="70">
        <f t="shared" si="90"/>
        <v>816850</v>
      </c>
      <c r="F148" s="56"/>
      <c r="G148" s="56"/>
      <c r="H148" s="70">
        <f>286400-50353</f>
        <v>236047</v>
      </c>
      <c r="I148" s="93"/>
      <c r="J148" s="70"/>
      <c r="K148" s="56"/>
      <c r="L148" s="56">
        <v>580803</v>
      </c>
      <c r="M148" s="70">
        <f>+O148+P148+R148+S148+T148</f>
        <v>-277200</v>
      </c>
      <c r="N148" s="70"/>
      <c r="O148" s="56"/>
      <c r="P148" s="56"/>
      <c r="Q148" s="56"/>
      <c r="R148" s="56"/>
      <c r="S148" s="56"/>
      <c r="T148" s="56">
        <v>-277200</v>
      </c>
      <c r="U148" s="70">
        <f>V148+W148+X148+AB148+Z148+AA148</f>
        <v>539650</v>
      </c>
      <c r="V148" s="143">
        <f t="shared" si="142"/>
        <v>0</v>
      </c>
      <c r="W148" s="143">
        <f t="shared" si="142"/>
        <v>0</v>
      </c>
      <c r="X148" s="143">
        <f t="shared" si="142"/>
        <v>236047</v>
      </c>
      <c r="Y148" s="143">
        <f t="shared" si="142"/>
        <v>0</v>
      </c>
      <c r="Z148" s="143">
        <f t="shared" si="143"/>
        <v>0</v>
      </c>
      <c r="AA148" s="143">
        <f t="shared" si="143"/>
        <v>0</v>
      </c>
      <c r="AB148" s="136">
        <f>L148+T148</f>
        <v>303603</v>
      </c>
      <c r="AC148" s="116"/>
      <c r="AD148" s="98"/>
      <c r="AE148" s="98"/>
    </row>
    <row r="149" spans="1:31" s="38" customFormat="1" ht="25.5" x14ac:dyDescent="0.25">
      <c r="A149" s="116" t="s">
        <v>75</v>
      </c>
      <c r="B149" s="96" t="s">
        <v>57</v>
      </c>
      <c r="C149" s="97">
        <v>244</v>
      </c>
      <c r="D149" s="97">
        <v>342</v>
      </c>
      <c r="E149" s="70">
        <f t="shared" si="90"/>
        <v>0</v>
      </c>
      <c r="F149" s="56"/>
      <c r="G149" s="56"/>
      <c r="H149" s="70"/>
      <c r="I149" s="93"/>
      <c r="J149" s="70"/>
      <c r="K149" s="56"/>
      <c r="L149" s="56"/>
      <c r="M149" s="70">
        <f t="shared" si="91"/>
        <v>280000</v>
      </c>
      <c r="N149" s="70"/>
      <c r="O149" s="56">
        <v>280000</v>
      </c>
      <c r="P149" s="56"/>
      <c r="Q149" s="56"/>
      <c r="R149" s="56"/>
      <c r="S149" s="56"/>
      <c r="T149" s="56"/>
      <c r="U149" s="70">
        <f t="shared" si="92"/>
        <v>280000</v>
      </c>
      <c r="V149" s="143">
        <f t="shared" si="142"/>
        <v>0</v>
      </c>
      <c r="W149" s="143">
        <f t="shared" si="142"/>
        <v>280000</v>
      </c>
      <c r="X149" s="143">
        <f t="shared" si="142"/>
        <v>0</v>
      </c>
      <c r="Y149" s="143">
        <f t="shared" si="142"/>
        <v>0</v>
      </c>
      <c r="Z149" s="143">
        <f t="shared" si="143"/>
        <v>0</v>
      </c>
      <c r="AA149" s="143">
        <f t="shared" si="143"/>
        <v>0</v>
      </c>
      <c r="AB149" s="143">
        <f t="shared" si="143"/>
        <v>0</v>
      </c>
      <c r="AC149" s="116"/>
      <c r="AD149" s="98"/>
      <c r="AE149" s="98"/>
    </row>
    <row r="150" spans="1:31" s="50" customFormat="1" ht="26.25" customHeight="1" x14ac:dyDescent="0.25">
      <c r="A150" s="119" t="s">
        <v>77</v>
      </c>
      <c r="B150" s="120"/>
      <c r="C150" s="118"/>
      <c r="D150" s="118"/>
      <c r="E150" s="70">
        <f t="shared" si="90"/>
        <v>816850</v>
      </c>
      <c r="F150" s="70">
        <f t="shared" ref="F150:L150" si="145">F147+F149+F148</f>
        <v>0</v>
      </c>
      <c r="G150" s="70">
        <f t="shared" si="145"/>
        <v>0</v>
      </c>
      <c r="H150" s="70">
        <f t="shared" si="145"/>
        <v>236047</v>
      </c>
      <c r="I150" s="70">
        <f t="shared" si="145"/>
        <v>0</v>
      </c>
      <c r="J150" s="70">
        <f t="shared" si="145"/>
        <v>0</v>
      </c>
      <c r="K150" s="70">
        <f t="shared" si="145"/>
        <v>0</v>
      </c>
      <c r="L150" s="70">
        <f t="shared" si="145"/>
        <v>580803</v>
      </c>
      <c r="M150" s="70">
        <f t="shared" si="91"/>
        <v>0</v>
      </c>
      <c r="N150" s="70"/>
      <c r="O150" s="56">
        <v>0</v>
      </c>
      <c r="P150" s="56">
        <v>0</v>
      </c>
      <c r="Q150" s="56"/>
      <c r="R150" s="56"/>
      <c r="S150" s="56"/>
      <c r="T150" s="56"/>
      <c r="U150" s="70">
        <f t="shared" si="92"/>
        <v>816850</v>
      </c>
      <c r="V150" s="143">
        <f t="shared" si="142"/>
        <v>0</v>
      </c>
      <c r="W150" s="143">
        <f t="shared" si="142"/>
        <v>0</v>
      </c>
      <c r="X150" s="143">
        <f t="shared" si="142"/>
        <v>236047</v>
      </c>
      <c r="Y150" s="143">
        <f t="shared" si="142"/>
        <v>0</v>
      </c>
      <c r="Z150" s="143">
        <f t="shared" si="143"/>
        <v>0</v>
      </c>
      <c r="AA150" s="143">
        <f t="shared" si="143"/>
        <v>0</v>
      </c>
      <c r="AB150" s="143">
        <f t="shared" si="143"/>
        <v>580803</v>
      </c>
      <c r="AC150" s="116"/>
      <c r="AD150" s="150"/>
      <c r="AE150" s="150"/>
    </row>
    <row r="151" spans="1:31" s="50" customFormat="1" ht="61.5" customHeight="1" x14ac:dyDescent="0.25">
      <c r="A151" s="116" t="s">
        <v>199</v>
      </c>
      <c r="B151" s="120" t="s">
        <v>58</v>
      </c>
      <c r="C151" s="118">
        <v>244</v>
      </c>
      <c r="D151" s="118">
        <v>310</v>
      </c>
      <c r="E151" s="70">
        <f t="shared" si="90"/>
        <v>0</v>
      </c>
      <c r="F151" s="70"/>
      <c r="G151" s="70"/>
      <c r="H151" s="70"/>
      <c r="I151" s="70"/>
      <c r="J151" s="70"/>
      <c r="K151" s="70"/>
      <c r="L151" s="70"/>
      <c r="M151" s="70">
        <f t="shared" si="91"/>
        <v>274646.46000000002</v>
      </c>
      <c r="N151" s="70"/>
      <c r="O151" s="56"/>
      <c r="P151" s="56"/>
      <c r="Q151" s="56"/>
      <c r="R151" s="56"/>
      <c r="S151" s="56"/>
      <c r="T151" s="56">
        <f>290000-15353.54</f>
        <v>274646.46000000002</v>
      </c>
      <c r="U151" s="70">
        <f t="shared" ref="U151:U152" si="146">V151+W151+X151+AB151+Z151+AA151</f>
        <v>274646.46000000002</v>
      </c>
      <c r="V151" s="147">
        <f t="shared" si="142"/>
        <v>0</v>
      </c>
      <c r="W151" s="147">
        <f t="shared" si="142"/>
        <v>0</v>
      </c>
      <c r="X151" s="147">
        <f t="shared" si="142"/>
        <v>0</v>
      </c>
      <c r="Y151" s="147"/>
      <c r="Z151" s="147">
        <f t="shared" si="143"/>
        <v>0</v>
      </c>
      <c r="AA151" s="147">
        <f t="shared" si="143"/>
        <v>0</v>
      </c>
      <c r="AB151" s="147">
        <f t="shared" si="143"/>
        <v>274646.46000000002</v>
      </c>
      <c r="AC151" s="116"/>
      <c r="AD151" s="150"/>
      <c r="AE151" s="150"/>
    </row>
    <row r="152" spans="1:31" s="50" customFormat="1" ht="61.5" customHeight="1" x14ac:dyDescent="0.25">
      <c r="A152" s="116" t="s">
        <v>200</v>
      </c>
      <c r="B152" s="120" t="s">
        <v>58</v>
      </c>
      <c r="C152" s="118">
        <v>244</v>
      </c>
      <c r="D152" s="118">
        <v>310</v>
      </c>
      <c r="E152" s="70">
        <f t="shared" si="90"/>
        <v>0</v>
      </c>
      <c r="F152" s="70"/>
      <c r="G152" s="70"/>
      <c r="H152" s="70"/>
      <c r="I152" s="70"/>
      <c r="J152" s="70"/>
      <c r="K152" s="70"/>
      <c r="L152" s="70"/>
      <c r="M152" s="70">
        <f t="shared" si="91"/>
        <v>32886.25</v>
      </c>
      <c r="N152" s="70"/>
      <c r="O152" s="56"/>
      <c r="P152" s="56"/>
      <c r="Q152" s="56"/>
      <c r="R152" s="56"/>
      <c r="S152" s="56"/>
      <c r="T152" s="56">
        <v>32886.25</v>
      </c>
      <c r="U152" s="70">
        <f t="shared" si="146"/>
        <v>32886.25</v>
      </c>
      <c r="V152" s="147">
        <f t="shared" si="142"/>
        <v>0</v>
      </c>
      <c r="W152" s="147">
        <f t="shared" si="142"/>
        <v>0</v>
      </c>
      <c r="X152" s="147">
        <f t="shared" si="142"/>
        <v>0</v>
      </c>
      <c r="Y152" s="147"/>
      <c r="Z152" s="147">
        <f t="shared" si="143"/>
        <v>0</v>
      </c>
      <c r="AA152" s="147">
        <f t="shared" si="143"/>
        <v>0</v>
      </c>
      <c r="AB152" s="147">
        <f t="shared" si="143"/>
        <v>32886.25</v>
      </c>
      <c r="AC152" s="116"/>
      <c r="AD152" s="150"/>
      <c r="AE152" s="150"/>
    </row>
    <row r="153" spans="1:31" s="38" customFormat="1" ht="84.75" customHeight="1" x14ac:dyDescent="0.25">
      <c r="A153" s="116" t="s">
        <v>190</v>
      </c>
      <c r="B153" s="96" t="s">
        <v>58</v>
      </c>
      <c r="C153" s="97">
        <v>244</v>
      </c>
      <c r="D153" s="97">
        <v>343</v>
      </c>
      <c r="E153" s="70">
        <f t="shared" si="90"/>
        <v>0</v>
      </c>
      <c r="F153" s="56"/>
      <c r="G153" s="56"/>
      <c r="H153" s="70"/>
      <c r="I153" s="93"/>
      <c r="J153" s="70"/>
      <c r="K153" s="56"/>
      <c r="L153" s="70"/>
      <c r="M153" s="70">
        <f>+O153+P153+R153+S153+T153</f>
        <v>233533.61</v>
      </c>
      <c r="N153" s="70"/>
      <c r="O153" s="56">
        <v>233533.61</v>
      </c>
      <c r="P153" s="70"/>
      <c r="Q153" s="70"/>
      <c r="R153" s="70"/>
      <c r="S153" s="70"/>
      <c r="T153" s="70"/>
      <c r="U153" s="70">
        <f>V153+W153+X153+AB153+Z153+AA153</f>
        <v>233533.61</v>
      </c>
      <c r="V153" s="146">
        <f t="shared" si="142"/>
        <v>0</v>
      </c>
      <c r="W153" s="146">
        <f t="shared" si="142"/>
        <v>233533.61</v>
      </c>
      <c r="X153" s="146">
        <f t="shared" si="142"/>
        <v>0</v>
      </c>
      <c r="Y153" s="146">
        <f t="shared" si="142"/>
        <v>0</v>
      </c>
      <c r="Z153" s="146">
        <f t="shared" si="143"/>
        <v>0</v>
      </c>
      <c r="AA153" s="146">
        <f t="shared" si="143"/>
        <v>0</v>
      </c>
      <c r="AB153" s="146">
        <f t="shared" si="143"/>
        <v>0</v>
      </c>
      <c r="AC153" s="116" t="s">
        <v>160</v>
      </c>
      <c r="AD153" s="98"/>
      <c r="AE153" s="98"/>
    </row>
    <row r="154" spans="1:31" s="50" customFormat="1" ht="21.75" customHeight="1" x14ac:dyDescent="0.25">
      <c r="A154" s="119" t="s">
        <v>78</v>
      </c>
      <c r="B154" s="120"/>
      <c r="C154" s="118"/>
      <c r="D154" s="118"/>
      <c r="E154" s="70">
        <f t="shared" si="90"/>
        <v>0</v>
      </c>
      <c r="F154" s="70">
        <f t="shared" ref="F154:L154" si="147">SUM(F153)</f>
        <v>0</v>
      </c>
      <c r="G154" s="70">
        <f t="shared" si="147"/>
        <v>0</v>
      </c>
      <c r="H154" s="70">
        <f t="shared" si="147"/>
        <v>0</v>
      </c>
      <c r="I154" s="121"/>
      <c r="J154" s="70">
        <f t="shared" si="147"/>
        <v>0</v>
      </c>
      <c r="K154" s="70">
        <f t="shared" si="147"/>
        <v>0</v>
      </c>
      <c r="L154" s="70">
        <f t="shared" si="147"/>
        <v>0</v>
      </c>
      <c r="M154" s="70">
        <f t="shared" si="91"/>
        <v>0</v>
      </c>
      <c r="N154" s="70"/>
      <c r="O154" s="56"/>
      <c r="P154" s="56"/>
      <c r="Q154" s="56"/>
      <c r="R154" s="56"/>
      <c r="S154" s="56"/>
      <c r="T154" s="56"/>
      <c r="U154" s="70">
        <f t="shared" si="92"/>
        <v>0</v>
      </c>
      <c r="V154" s="143">
        <f t="shared" si="142"/>
        <v>0</v>
      </c>
      <c r="W154" s="143">
        <f t="shared" si="142"/>
        <v>0</v>
      </c>
      <c r="X154" s="143">
        <f t="shared" si="142"/>
        <v>0</v>
      </c>
      <c r="Y154" s="143">
        <f t="shared" si="142"/>
        <v>0</v>
      </c>
      <c r="Z154" s="143">
        <f t="shared" si="143"/>
        <v>0</v>
      </c>
      <c r="AA154" s="143">
        <f t="shared" si="143"/>
        <v>0</v>
      </c>
      <c r="AB154" s="143">
        <f t="shared" si="143"/>
        <v>0</v>
      </c>
      <c r="AC154" s="116"/>
      <c r="AD154" s="150"/>
      <c r="AE154" s="150"/>
    </row>
    <row r="155" spans="1:31" s="38" customFormat="1" ht="42" customHeight="1" x14ac:dyDescent="0.25">
      <c r="A155" s="116" t="s">
        <v>155</v>
      </c>
      <c r="B155" s="96" t="s">
        <v>56</v>
      </c>
      <c r="C155" s="97">
        <v>244</v>
      </c>
      <c r="D155" s="97">
        <v>345</v>
      </c>
      <c r="E155" s="70">
        <f t="shared" ref="E155:E156" si="148">SUM(G155+H155+J155+K155+L155)+F155</f>
        <v>41100</v>
      </c>
      <c r="F155" s="56"/>
      <c r="G155" s="56"/>
      <c r="H155" s="70">
        <v>41100</v>
      </c>
      <c r="I155" s="93"/>
      <c r="J155" s="70"/>
      <c r="K155" s="56"/>
      <c r="L155" s="70"/>
      <c r="M155" s="70">
        <f>+O155+P155+R155+S155+T155</f>
        <v>0</v>
      </c>
      <c r="N155" s="70"/>
      <c r="O155" s="70"/>
      <c r="P155" s="70">
        <f>SUM(P150:P154)</f>
        <v>0</v>
      </c>
      <c r="Q155" s="70">
        <f t="shared" ref="Q155:S155" si="149">SUM(Q150:Q154)</f>
        <v>0</v>
      </c>
      <c r="R155" s="70">
        <f t="shared" si="149"/>
        <v>0</v>
      </c>
      <c r="S155" s="70">
        <f t="shared" si="149"/>
        <v>0</v>
      </c>
      <c r="T155" s="70"/>
      <c r="U155" s="70">
        <f>V155+W155+X155+AB155+Z155+AA155</f>
        <v>41100</v>
      </c>
      <c r="V155" s="146">
        <f t="shared" ref="V155:V156" si="150">F155+N155</f>
        <v>0</v>
      </c>
      <c r="W155" s="146">
        <f t="shared" ref="W155:W156" si="151">G155+O155</f>
        <v>0</v>
      </c>
      <c r="X155" s="146">
        <f t="shared" ref="X155:X156" si="152">H155+P155</f>
        <v>41100</v>
      </c>
      <c r="Y155" s="146">
        <f t="shared" ref="Y155:Y156" si="153">I155+Q155</f>
        <v>0</v>
      </c>
      <c r="Z155" s="146">
        <f t="shared" ref="Z155:Z156" si="154">J155+R155</f>
        <v>0</v>
      </c>
      <c r="AA155" s="146">
        <f t="shared" ref="AA155:AA156" si="155">K155+S155</f>
        <v>0</v>
      </c>
      <c r="AB155" s="146">
        <f t="shared" ref="AB155:AB156" si="156">L155+T155</f>
        <v>0</v>
      </c>
      <c r="AC155" s="118"/>
      <c r="AD155" s="98"/>
      <c r="AE155" s="98"/>
    </row>
    <row r="156" spans="1:31" s="50" customFormat="1" ht="21.75" customHeight="1" x14ac:dyDescent="0.25">
      <c r="A156" s="119" t="s">
        <v>40</v>
      </c>
      <c r="B156" s="120"/>
      <c r="C156" s="118"/>
      <c r="D156" s="118"/>
      <c r="E156" s="70">
        <f t="shared" si="148"/>
        <v>41100</v>
      </c>
      <c r="F156" s="70">
        <f t="shared" ref="F156:H156" si="157">SUM(F155)</f>
        <v>0</v>
      </c>
      <c r="G156" s="70">
        <f t="shared" si="157"/>
        <v>0</v>
      </c>
      <c r="H156" s="70">
        <f t="shared" si="157"/>
        <v>41100</v>
      </c>
      <c r="I156" s="121"/>
      <c r="J156" s="70">
        <f t="shared" ref="J156:L156" si="158">SUM(J155)</f>
        <v>0</v>
      </c>
      <c r="K156" s="70">
        <f t="shared" si="158"/>
        <v>0</v>
      </c>
      <c r="L156" s="70">
        <f t="shared" si="158"/>
        <v>0</v>
      </c>
      <c r="M156" s="70">
        <f t="shared" ref="M156" si="159">+O156+P156+R156+S156+T156</f>
        <v>0</v>
      </c>
      <c r="N156" s="70"/>
      <c r="O156" s="56"/>
      <c r="P156" s="56"/>
      <c r="Q156" s="56"/>
      <c r="R156" s="56"/>
      <c r="S156" s="56"/>
      <c r="T156" s="56"/>
      <c r="U156" s="70">
        <f t="shared" ref="U156" si="160">V156+W156+X156+AB156+Z156+AA156</f>
        <v>41100</v>
      </c>
      <c r="V156" s="143">
        <f t="shared" si="150"/>
        <v>0</v>
      </c>
      <c r="W156" s="143">
        <f t="shared" si="151"/>
        <v>0</v>
      </c>
      <c r="X156" s="143">
        <f t="shared" si="152"/>
        <v>41100</v>
      </c>
      <c r="Y156" s="143">
        <f t="shared" si="153"/>
        <v>0</v>
      </c>
      <c r="Z156" s="143">
        <f t="shared" si="154"/>
        <v>0</v>
      </c>
      <c r="AA156" s="143">
        <f t="shared" si="155"/>
        <v>0</v>
      </c>
      <c r="AB156" s="143">
        <f t="shared" si="156"/>
        <v>0</v>
      </c>
      <c r="AC156" s="116"/>
      <c r="AD156" s="150"/>
      <c r="AE156" s="150"/>
    </row>
    <row r="157" spans="1:31" s="38" customFormat="1" ht="127.5" customHeight="1" x14ac:dyDescent="0.25">
      <c r="A157" s="116" t="s">
        <v>94</v>
      </c>
      <c r="B157" s="96" t="s">
        <v>59</v>
      </c>
      <c r="C157" s="97">
        <v>244</v>
      </c>
      <c r="D157" s="97">
        <v>346</v>
      </c>
      <c r="E157" s="70">
        <f t="shared" si="90"/>
        <v>2622.32</v>
      </c>
      <c r="F157" s="70"/>
      <c r="G157" s="56"/>
      <c r="H157" s="56">
        <v>2328.9</v>
      </c>
      <c r="I157" s="93"/>
      <c r="J157" s="70"/>
      <c r="K157" s="70"/>
      <c r="L157" s="56">
        <v>293.42</v>
      </c>
      <c r="M157" s="70">
        <f>+O157+P157+R157+S157+T157</f>
        <v>317.68</v>
      </c>
      <c r="N157" s="70"/>
      <c r="O157" s="56">
        <v>317.68</v>
      </c>
      <c r="P157" s="56"/>
      <c r="Q157" s="56"/>
      <c r="R157" s="56"/>
      <c r="S157" s="56"/>
      <c r="T157" s="56"/>
      <c r="U157" s="70">
        <f>V157+W157+X157+AB157+Z157+AA157</f>
        <v>2940</v>
      </c>
      <c r="V157" s="143">
        <f t="shared" si="142"/>
        <v>0</v>
      </c>
      <c r="W157" s="143">
        <f t="shared" si="142"/>
        <v>317.68</v>
      </c>
      <c r="X157" s="143">
        <f t="shared" si="142"/>
        <v>2328.9</v>
      </c>
      <c r="Y157" s="143">
        <f t="shared" si="142"/>
        <v>0</v>
      </c>
      <c r="Z157" s="143">
        <f t="shared" si="143"/>
        <v>0</v>
      </c>
      <c r="AA157" s="143">
        <f t="shared" si="143"/>
        <v>0</v>
      </c>
      <c r="AB157" s="143">
        <f t="shared" si="143"/>
        <v>293.42</v>
      </c>
      <c r="AC157" s="116" t="s">
        <v>164</v>
      </c>
      <c r="AD157" s="98"/>
      <c r="AE157" s="98"/>
    </row>
    <row r="158" spans="1:31" s="38" customFormat="1" ht="26.25" customHeight="1" x14ac:dyDescent="0.25">
      <c r="A158" s="116" t="s">
        <v>94</v>
      </c>
      <c r="B158" s="96" t="s">
        <v>63</v>
      </c>
      <c r="C158" s="97">
        <v>244</v>
      </c>
      <c r="D158" s="97">
        <v>346</v>
      </c>
      <c r="E158" s="70">
        <f t="shared" si="90"/>
        <v>2560</v>
      </c>
      <c r="F158" s="70"/>
      <c r="G158" s="56"/>
      <c r="H158" s="56"/>
      <c r="I158" s="93">
        <f>I48</f>
        <v>963324097</v>
      </c>
      <c r="J158" s="70"/>
      <c r="K158" s="56">
        <v>2560</v>
      </c>
      <c r="L158" s="56"/>
      <c r="M158" s="70">
        <f t="shared" si="91"/>
        <v>0</v>
      </c>
      <c r="N158" s="70"/>
      <c r="O158" s="56"/>
      <c r="P158" s="56"/>
      <c r="Q158" s="56"/>
      <c r="R158" s="56"/>
      <c r="S158" s="56"/>
      <c r="T158" s="56"/>
      <c r="U158" s="70">
        <f t="shared" si="92"/>
        <v>2560</v>
      </c>
      <c r="V158" s="143">
        <f t="shared" si="142"/>
        <v>0</v>
      </c>
      <c r="W158" s="143">
        <f t="shared" si="142"/>
        <v>0</v>
      </c>
      <c r="X158" s="143">
        <f t="shared" si="142"/>
        <v>0</v>
      </c>
      <c r="Y158" s="143">
        <f t="shared" si="142"/>
        <v>963324097</v>
      </c>
      <c r="Z158" s="143">
        <f t="shared" si="143"/>
        <v>0</v>
      </c>
      <c r="AA158" s="143">
        <f t="shared" si="143"/>
        <v>2560</v>
      </c>
      <c r="AB158" s="136">
        <f>L158+T158</f>
        <v>0</v>
      </c>
      <c r="AC158" s="116"/>
      <c r="AD158" s="98"/>
      <c r="AE158" s="98"/>
    </row>
    <row r="159" spans="1:31" s="38" customFormat="1" ht="113.25" customHeight="1" x14ac:dyDescent="0.25">
      <c r="A159" s="116" t="s">
        <v>95</v>
      </c>
      <c r="B159" s="96" t="s">
        <v>59</v>
      </c>
      <c r="C159" s="97">
        <v>244</v>
      </c>
      <c r="D159" s="97">
        <v>346</v>
      </c>
      <c r="E159" s="70">
        <f t="shared" si="90"/>
        <v>3371.66</v>
      </c>
      <c r="F159" s="70"/>
      <c r="G159" s="56"/>
      <c r="H159" s="56">
        <v>2994.4</v>
      </c>
      <c r="I159" s="93"/>
      <c r="J159" s="70"/>
      <c r="K159" s="97"/>
      <c r="L159" s="56">
        <v>377.26</v>
      </c>
      <c r="M159" s="70">
        <f t="shared" si="91"/>
        <v>408.34</v>
      </c>
      <c r="N159" s="70"/>
      <c r="O159" s="56">
        <v>408.34</v>
      </c>
      <c r="P159" s="56"/>
      <c r="Q159" s="56"/>
      <c r="R159" s="56"/>
      <c r="S159" s="56"/>
      <c r="T159" s="56"/>
      <c r="U159" s="70">
        <f t="shared" si="92"/>
        <v>3780</v>
      </c>
      <c r="V159" s="143">
        <f t="shared" si="142"/>
        <v>0</v>
      </c>
      <c r="W159" s="143">
        <f t="shared" si="142"/>
        <v>408.34</v>
      </c>
      <c r="X159" s="143">
        <f t="shared" si="142"/>
        <v>2994.4</v>
      </c>
      <c r="Y159" s="143">
        <f t="shared" si="142"/>
        <v>0</v>
      </c>
      <c r="Z159" s="143">
        <f t="shared" si="143"/>
        <v>0</v>
      </c>
      <c r="AA159" s="143">
        <f t="shared" si="143"/>
        <v>0</v>
      </c>
      <c r="AB159" s="143">
        <f t="shared" si="143"/>
        <v>377.26</v>
      </c>
      <c r="AC159" s="116" t="s">
        <v>164</v>
      </c>
      <c r="AD159" s="98"/>
      <c r="AE159" s="98"/>
    </row>
    <row r="160" spans="1:31" s="38" customFormat="1" ht="104.25" customHeight="1" x14ac:dyDescent="0.25">
      <c r="A160" s="116" t="s">
        <v>98</v>
      </c>
      <c r="B160" s="96" t="s">
        <v>56</v>
      </c>
      <c r="C160" s="97">
        <v>244</v>
      </c>
      <c r="D160" s="97">
        <v>346</v>
      </c>
      <c r="E160" s="70">
        <f t="shared" si="90"/>
        <v>50353</v>
      </c>
      <c r="F160" s="56"/>
      <c r="G160" s="56"/>
      <c r="H160" s="56">
        <v>50353</v>
      </c>
      <c r="I160" s="93"/>
      <c r="J160" s="56"/>
      <c r="K160" s="56"/>
      <c r="L160" s="56"/>
      <c r="M160" s="70">
        <f>+O160+P160+R160+S160+T160</f>
        <v>6600</v>
      </c>
      <c r="N160" s="70"/>
      <c r="O160" s="56"/>
      <c r="P160" s="56">
        <v>6600</v>
      </c>
      <c r="Q160" s="56"/>
      <c r="R160" s="56"/>
      <c r="S160" s="56"/>
      <c r="T160" s="56"/>
      <c r="U160" s="70">
        <f t="shared" si="92"/>
        <v>56953</v>
      </c>
      <c r="V160" s="143">
        <f t="shared" si="142"/>
        <v>0</v>
      </c>
      <c r="W160" s="143">
        <f t="shared" si="142"/>
        <v>0</v>
      </c>
      <c r="X160" s="143">
        <f t="shared" si="142"/>
        <v>56953</v>
      </c>
      <c r="Y160" s="143">
        <f t="shared" si="142"/>
        <v>0</v>
      </c>
      <c r="Z160" s="143">
        <f t="shared" si="143"/>
        <v>0</v>
      </c>
      <c r="AA160" s="143">
        <f t="shared" si="143"/>
        <v>0</v>
      </c>
      <c r="AB160" s="136">
        <f>L160+T160</f>
        <v>0</v>
      </c>
      <c r="AC160" s="116" t="s">
        <v>161</v>
      </c>
      <c r="AD160" s="98"/>
      <c r="AE160" s="98"/>
    </row>
    <row r="161" spans="1:31" s="38" customFormat="1" ht="76.5" customHeight="1" x14ac:dyDescent="0.25">
      <c r="A161" s="116" t="s">
        <v>197</v>
      </c>
      <c r="B161" s="96" t="s">
        <v>58</v>
      </c>
      <c r="C161" s="97">
        <v>244</v>
      </c>
      <c r="D161" s="97">
        <v>344</v>
      </c>
      <c r="E161" s="70">
        <f t="shared" si="90"/>
        <v>0</v>
      </c>
      <c r="F161" s="56"/>
      <c r="G161" s="56"/>
      <c r="H161" s="56"/>
      <c r="I161" s="93"/>
      <c r="J161" s="56"/>
      <c r="K161" s="56"/>
      <c r="L161" s="56"/>
      <c r="M161" s="70">
        <f>+O161+P161+R161+S161+T161</f>
        <v>56000</v>
      </c>
      <c r="N161" s="70"/>
      <c r="O161" s="56"/>
      <c r="P161" s="56">
        <v>56000</v>
      </c>
      <c r="Q161" s="56"/>
      <c r="R161" s="56"/>
      <c r="S161" s="56"/>
      <c r="T161" s="56"/>
      <c r="U161" s="70">
        <f>V161+W161+X161+AB161+Z161+AA161</f>
        <v>56000</v>
      </c>
      <c r="V161" s="146">
        <f t="shared" ref="V161" si="161">F161+N161</f>
        <v>0</v>
      </c>
      <c r="W161" s="146">
        <f t="shared" ref="W161" si="162">G161+O161</f>
        <v>0</v>
      </c>
      <c r="X161" s="146">
        <f t="shared" ref="X161" si="163">H161+P161</f>
        <v>56000</v>
      </c>
      <c r="Y161" s="146">
        <f t="shared" ref="Y161" si="164">I161+Q161</f>
        <v>0</v>
      </c>
      <c r="Z161" s="146">
        <f t="shared" ref="Z161" si="165">J161+R161</f>
        <v>0</v>
      </c>
      <c r="AA161" s="146">
        <f t="shared" ref="AA161" si="166">K161+S161</f>
        <v>0</v>
      </c>
      <c r="AB161" s="146">
        <f t="shared" ref="AB161" si="167">L161+T161</f>
        <v>0</v>
      </c>
      <c r="AC161" s="116"/>
      <c r="AD161" s="98"/>
      <c r="AE161" s="98"/>
    </row>
    <row r="162" spans="1:31" s="38" customFormat="1" ht="102.75" customHeight="1" x14ac:dyDescent="0.25">
      <c r="A162" s="116" t="s">
        <v>191</v>
      </c>
      <c r="B162" s="96" t="s">
        <v>58</v>
      </c>
      <c r="C162" s="97">
        <v>244</v>
      </c>
      <c r="D162" s="97">
        <v>346</v>
      </c>
      <c r="E162" s="70">
        <f t="shared" ref="E162" si="168">SUM(G162+H162+J162+K162+L162)+F162</f>
        <v>71986.499999999985</v>
      </c>
      <c r="F162" s="56"/>
      <c r="G162" s="56"/>
      <c r="H162" s="56">
        <f>50000+119999.99-95049.91-2963.58</f>
        <v>71986.499999999985</v>
      </c>
      <c r="I162" s="93"/>
      <c r="J162" s="56"/>
      <c r="K162" s="56"/>
      <c r="L162" s="56"/>
      <c r="M162" s="70">
        <f t="shared" si="91"/>
        <v>50000</v>
      </c>
      <c r="N162" s="70"/>
      <c r="O162" s="56">
        <v>50000</v>
      </c>
      <c r="P162" s="56"/>
      <c r="Q162" s="56"/>
      <c r="R162" s="56"/>
      <c r="S162" s="56"/>
      <c r="T162" s="56"/>
      <c r="U162" s="70">
        <f t="shared" si="92"/>
        <v>121986.49999999999</v>
      </c>
      <c r="V162" s="143">
        <f t="shared" si="142"/>
        <v>0</v>
      </c>
      <c r="W162" s="143">
        <f t="shared" si="142"/>
        <v>50000</v>
      </c>
      <c r="X162" s="143">
        <f t="shared" si="142"/>
        <v>71986.499999999985</v>
      </c>
      <c r="Y162" s="143">
        <f t="shared" si="142"/>
        <v>0</v>
      </c>
      <c r="Z162" s="143">
        <f t="shared" si="143"/>
        <v>0</v>
      </c>
      <c r="AA162" s="143">
        <f t="shared" si="143"/>
        <v>0</v>
      </c>
      <c r="AB162" s="143">
        <f t="shared" si="143"/>
        <v>0</v>
      </c>
      <c r="AC162" s="116" t="s">
        <v>160</v>
      </c>
      <c r="AD162" s="98"/>
      <c r="AE162" s="98"/>
    </row>
    <row r="163" spans="1:31" s="38" customFormat="1" ht="123.75" customHeight="1" x14ac:dyDescent="0.25">
      <c r="A163" s="116" t="s">
        <v>98</v>
      </c>
      <c r="B163" s="96" t="s">
        <v>58</v>
      </c>
      <c r="C163" s="97">
        <v>244</v>
      </c>
      <c r="D163" s="97">
        <v>346</v>
      </c>
      <c r="E163" s="70">
        <f t="shared" si="90"/>
        <v>91886.080000000002</v>
      </c>
      <c r="F163" s="56"/>
      <c r="G163" s="56"/>
      <c r="H163" s="56">
        <f>56000+38386.08-2500</f>
        <v>91886.080000000002</v>
      </c>
      <c r="I163" s="93"/>
      <c r="J163" s="56"/>
      <c r="K163" s="56"/>
      <c r="L163" s="56"/>
      <c r="M163" s="70">
        <f t="shared" si="91"/>
        <v>-6600</v>
      </c>
      <c r="N163" s="70"/>
      <c r="O163" s="56">
        <v>0</v>
      </c>
      <c r="P163" s="56">
        <v>-6600</v>
      </c>
      <c r="Q163" s="56"/>
      <c r="R163" s="56"/>
      <c r="S163" s="56"/>
      <c r="T163" s="56"/>
      <c r="U163" s="70">
        <f t="shared" si="92"/>
        <v>85286.080000000002</v>
      </c>
      <c r="V163" s="143">
        <f t="shared" si="142"/>
        <v>0</v>
      </c>
      <c r="W163" s="143">
        <f t="shared" si="142"/>
        <v>0</v>
      </c>
      <c r="X163" s="136">
        <f>H163+P163</f>
        <v>85286.080000000002</v>
      </c>
      <c r="Y163" s="143">
        <f t="shared" si="142"/>
        <v>0</v>
      </c>
      <c r="Z163" s="143">
        <f t="shared" si="143"/>
        <v>0</v>
      </c>
      <c r="AA163" s="143">
        <f t="shared" si="143"/>
        <v>0</v>
      </c>
      <c r="AB163" s="143">
        <f t="shared" si="143"/>
        <v>0</v>
      </c>
      <c r="AC163" s="116" t="s">
        <v>161</v>
      </c>
      <c r="AD163" s="98"/>
      <c r="AE163" s="98"/>
    </row>
    <row r="164" spans="1:31" s="38" customFormat="1" ht="26.25" customHeight="1" x14ac:dyDescent="0.25">
      <c r="A164" s="116" t="s">
        <v>153</v>
      </c>
      <c r="B164" s="96" t="s">
        <v>56</v>
      </c>
      <c r="C164" s="97">
        <v>244</v>
      </c>
      <c r="D164" s="97">
        <v>346</v>
      </c>
      <c r="E164" s="70">
        <f>SUM(G164+H164+J164+K164+L164)+F164</f>
        <v>100000</v>
      </c>
      <c r="F164" s="56"/>
      <c r="G164" s="56"/>
      <c r="H164" s="56">
        <v>100000</v>
      </c>
      <c r="I164" s="92"/>
      <c r="J164" s="56"/>
      <c r="K164" s="56"/>
      <c r="L164" s="56"/>
      <c r="M164" s="70">
        <f>+O164+P164+R164+S164+T164</f>
        <v>-35160</v>
      </c>
      <c r="N164" s="70"/>
      <c r="O164" s="56"/>
      <c r="P164" s="56">
        <v>-35160</v>
      </c>
      <c r="Q164" s="56"/>
      <c r="R164" s="56"/>
      <c r="S164" s="56"/>
      <c r="T164" s="56"/>
      <c r="U164" s="70">
        <f t="shared" si="92"/>
        <v>64840</v>
      </c>
      <c r="V164" s="143">
        <f t="shared" si="142"/>
        <v>0</v>
      </c>
      <c r="W164" s="143">
        <f t="shared" si="142"/>
        <v>0</v>
      </c>
      <c r="X164" s="136">
        <f>H164+P164</f>
        <v>64840</v>
      </c>
      <c r="Y164" s="143">
        <f t="shared" si="142"/>
        <v>0</v>
      </c>
      <c r="Z164" s="143">
        <f t="shared" si="143"/>
        <v>0</v>
      </c>
      <c r="AA164" s="143">
        <f t="shared" si="143"/>
        <v>0</v>
      </c>
      <c r="AB164" s="143">
        <f t="shared" si="143"/>
        <v>0</v>
      </c>
      <c r="AC164" s="116"/>
      <c r="AD164" s="98"/>
      <c r="AE164" s="98"/>
    </row>
    <row r="165" spans="1:31" s="38" customFormat="1" ht="43.5" customHeight="1" x14ac:dyDescent="0.25">
      <c r="A165" s="116" t="s">
        <v>177</v>
      </c>
      <c r="B165" s="96" t="s">
        <v>56</v>
      </c>
      <c r="C165" s="97">
        <v>244</v>
      </c>
      <c r="D165" s="97">
        <v>346</v>
      </c>
      <c r="E165" s="70">
        <f>SUM(G165+H165+J165+K165+L165)+F165</f>
        <v>0</v>
      </c>
      <c r="F165" s="56"/>
      <c r="G165" s="56"/>
      <c r="H165" s="56"/>
      <c r="I165" s="92"/>
      <c r="J165" s="56"/>
      <c r="K165" s="56"/>
      <c r="L165" s="56"/>
      <c r="M165" s="70">
        <f>+O165+P165+R165+S165+T165</f>
        <v>62279.22</v>
      </c>
      <c r="N165" s="70"/>
      <c r="O165" s="56">
        <f>62279.22</f>
        <v>62279.22</v>
      </c>
      <c r="P165" s="56"/>
      <c r="Q165" s="56"/>
      <c r="R165" s="56"/>
      <c r="S165" s="56"/>
      <c r="T165" s="56"/>
      <c r="U165" s="70">
        <f t="shared" ref="U165:U166" si="169">V165+W165+X165+AB165+Z165+AA165</f>
        <v>62279.22</v>
      </c>
      <c r="V165" s="143">
        <f t="shared" ref="V165" si="170">F165+N165</f>
        <v>0</v>
      </c>
      <c r="W165" s="143">
        <f t="shared" ref="W165" si="171">G165+O165</f>
        <v>62279.22</v>
      </c>
      <c r="X165" s="136">
        <f>H165+P165</f>
        <v>0</v>
      </c>
      <c r="Y165" s="143">
        <f t="shared" ref="Y165" si="172">I165+Q165</f>
        <v>0</v>
      </c>
      <c r="Z165" s="143">
        <f t="shared" ref="Z165" si="173">J165+R165</f>
        <v>0</v>
      </c>
      <c r="AA165" s="143">
        <f t="shared" ref="AA165" si="174">K165+S165</f>
        <v>0</v>
      </c>
      <c r="AB165" s="143">
        <f t="shared" ref="AB165" si="175">L165+T165</f>
        <v>0</v>
      </c>
      <c r="AC165" s="116"/>
      <c r="AD165" s="98"/>
      <c r="AE165" s="98"/>
    </row>
    <row r="166" spans="1:31" s="38" customFormat="1" ht="43.5" customHeight="1" x14ac:dyDescent="0.25">
      <c r="A166" s="116" t="s">
        <v>192</v>
      </c>
      <c r="B166" s="96" t="s">
        <v>56</v>
      </c>
      <c r="C166" s="97">
        <v>244</v>
      </c>
      <c r="D166" s="97">
        <v>346</v>
      </c>
      <c r="E166" s="70">
        <f>SUM(G166+H166+J166+K166+L166)+F166</f>
        <v>0</v>
      </c>
      <c r="F166" s="56"/>
      <c r="G166" s="56"/>
      <c r="H166" s="56"/>
      <c r="I166" s="92"/>
      <c r="J166" s="56"/>
      <c r="K166" s="56"/>
      <c r="L166" s="56"/>
      <c r="M166" s="70">
        <f>+O166+P166+R166+S166+T166</f>
        <v>59422.47</v>
      </c>
      <c r="N166" s="70"/>
      <c r="O166" s="56"/>
      <c r="P166" s="56"/>
      <c r="Q166" s="56"/>
      <c r="R166" s="56"/>
      <c r="S166" s="56"/>
      <c r="T166" s="56">
        <v>59422.47</v>
      </c>
      <c r="U166" s="70">
        <f t="shared" si="169"/>
        <v>59422.47</v>
      </c>
      <c r="V166" s="143">
        <f t="shared" ref="V166" si="176">F166+N166</f>
        <v>0</v>
      </c>
      <c r="W166" s="143">
        <f t="shared" ref="W166" si="177">G166+O166</f>
        <v>0</v>
      </c>
      <c r="X166" s="136">
        <f>H166+P166</f>
        <v>0</v>
      </c>
      <c r="Y166" s="143">
        <f t="shared" ref="Y166" si="178">I166+Q166</f>
        <v>0</v>
      </c>
      <c r="Z166" s="143">
        <f t="shared" ref="Z166" si="179">J166+R166</f>
        <v>0</v>
      </c>
      <c r="AA166" s="143">
        <f t="shared" ref="AA166" si="180">K166+S166</f>
        <v>0</v>
      </c>
      <c r="AB166" s="143">
        <f t="shared" ref="AB166" si="181">L166+T166</f>
        <v>59422.47</v>
      </c>
      <c r="AC166" s="116"/>
      <c r="AD166" s="98"/>
      <c r="AE166" s="98"/>
    </row>
    <row r="167" spans="1:31" s="38" customFormat="1" ht="51" customHeight="1" x14ac:dyDescent="0.25">
      <c r="A167" s="116" t="s">
        <v>154</v>
      </c>
      <c r="B167" s="96" t="s">
        <v>56</v>
      </c>
      <c r="C167" s="97">
        <v>244</v>
      </c>
      <c r="D167" s="97">
        <v>346</v>
      </c>
      <c r="E167" s="70">
        <f t="shared" si="90"/>
        <v>10000</v>
      </c>
      <c r="F167" s="56"/>
      <c r="G167" s="56"/>
      <c r="H167" s="56">
        <v>10000</v>
      </c>
      <c r="I167" s="93"/>
      <c r="J167" s="56"/>
      <c r="K167" s="56"/>
      <c r="L167" s="56"/>
      <c r="M167" s="70">
        <f t="shared" si="91"/>
        <v>0</v>
      </c>
      <c r="N167" s="70"/>
      <c r="O167" s="56">
        <v>0</v>
      </c>
      <c r="P167" s="56"/>
      <c r="Q167" s="56"/>
      <c r="R167" s="56"/>
      <c r="S167" s="56"/>
      <c r="T167" s="56"/>
      <c r="U167" s="70">
        <f t="shared" si="92"/>
        <v>10000</v>
      </c>
      <c r="V167" s="143">
        <f t="shared" ref="V167:AB182" si="182">F167+N167</f>
        <v>0</v>
      </c>
      <c r="W167" s="143">
        <f t="shared" si="182"/>
        <v>0</v>
      </c>
      <c r="X167" s="143">
        <f t="shared" si="182"/>
        <v>10000</v>
      </c>
      <c r="Y167" s="143">
        <f t="shared" si="182"/>
        <v>0</v>
      </c>
      <c r="Z167" s="136">
        <f>J167+R167</f>
        <v>0</v>
      </c>
      <c r="AA167" s="143">
        <f t="shared" si="182"/>
        <v>0</v>
      </c>
      <c r="AB167" s="143">
        <f t="shared" si="182"/>
        <v>0</v>
      </c>
      <c r="AC167" s="116"/>
      <c r="AD167" s="98"/>
      <c r="AE167" s="98"/>
    </row>
    <row r="168" spans="1:31" s="38" customFormat="1" ht="115.5" customHeight="1" x14ac:dyDescent="0.25">
      <c r="A168" s="116" t="s">
        <v>193</v>
      </c>
      <c r="B168" s="96" t="s">
        <v>58</v>
      </c>
      <c r="C168" s="97">
        <v>244</v>
      </c>
      <c r="D168" s="97">
        <v>346</v>
      </c>
      <c r="E168" s="70">
        <f t="shared" si="90"/>
        <v>0</v>
      </c>
      <c r="F168" s="56"/>
      <c r="G168" s="56"/>
      <c r="H168" s="56"/>
      <c r="I168" s="93"/>
      <c r="J168" s="56"/>
      <c r="K168" s="56"/>
      <c r="L168" s="56"/>
      <c r="M168" s="70">
        <f t="shared" si="91"/>
        <v>101884.04</v>
      </c>
      <c r="N168" s="70"/>
      <c r="O168" s="56">
        <v>101884.04</v>
      </c>
      <c r="P168" s="56"/>
      <c r="Q168" s="56"/>
      <c r="R168" s="56"/>
      <c r="S168" s="56"/>
      <c r="T168" s="56"/>
      <c r="U168" s="70">
        <f t="shared" si="92"/>
        <v>101884.04</v>
      </c>
      <c r="V168" s="143">
        <f t="shared" si="182"/>
        <v>0</v>
      </c>
      <c r="W168" s="143">
        <f t="shared" si="182"/>
        <v>101884.04</v>
      </c>
      <c r="X168" s="143">
        <f t="shared" si="182"/>
        <v>0</v>
      </c>
      <c r="Y168" s="143">
        <f t="shared" si="182"/>
        <v>0</v>
      </c>
      <c r="Z168" s="143">
        <f t="shared" si="182"/>
        <v>0</v>
      </c>
      <c r="AA168" s="143">
        <f t="shared" si="182"/>
        <v>0</v>
      </c>
      <c r="AB168" s="143">
        <f t="shared" si="182"/>
        <v>0</v>
      </c>
      <c r="AC168" s="116" t="s">
        <v>160</v>
      </c>
      <c r="AD168" s="98"/>
      <c r="AE168" s="98"/>
    </row>
    <row r="169" spans="1:31" s="50" customFormat="1" ht="30" customHeight="1" x14ac:dyDescent="0.25">
      <c r="A169" s="119" t="s">
        <v>41</v>
      </c>
      <c r="B169" s="120"/>
      <c r="C169" s="118">
        <v>244</v>
      </c>
      <c r="D169" s="118">
        <v>346</v>
      </c>
      <c r="E169" s="70">
        <f>SUM(G169+H169+J169+K169+L169)+F169</f>
        <v>332779.56</v>
      </c>
      <c r="F169" s="70">
        <f>SUM(F160:F168)</f>
        <v>0</v>
      </c>
      <c r="G169" s="70">
        <f>SUM(G157:G168)</f>
        <v>0</v>
      </c>
      <c r="H169" s="70">
        <f>SUM(H157:H168)</f>
        <v>329548.88</v>
      </c>
      <c r="I169" s="121">
        <v>963324097</v>
      </c>
      <c r="J169" s="70">
        <f>SUM(J160:J167)</f>
        <v>0</v>
      </c>
      <c r="K169" s="70">
        <f t="shared" ref="K169:L169" si="183">SUM(K157:K168)</f>
        <v>2560</v>
      </c>
      <c r="L169" s="70">
        <f t="shared" si="183"/>
        <v>670.68000000000006</v>
      </c>
      <c r="M169" s="70">
        <f t="shared" si="91"/>
        <v>0</v>
      </c>
      <c r="N169" s="70"/>
      <c r="O169" s="56"/>
      <c r="P169" s="56"/>
      <c r="Q169" s="56"/>
      <c r="R169" s="56"/>
      <c r="S169" s="56"/>
      <c r="T169" s="56"/>
      <c r="U169" s="70">
        <f t="shared" si="92"/>
        <v>332779.56</v>
      </c>
      <c r="V169" s="143">
        <f t="shared" si="182"/>
        <v>0</v>
      </c>
      <c r="W169" s="143">
        <f t="shared" si="182"/>
        <v>0</v>
      </c>
      <c r="X169" s="143">
        <f t="shared" si="182"/>
        <v>329548.88</v>
      </c>
      <c r="Y169" s="143">
        <f t="shared" si="182"/>
        <v>963324097</v>
      </c>
      <c r="Z169" s="143">
        <f t="shared" si="182"/>
        <v>0</v>
      </c>
      <c r="AA169" s="143">
        <f t="shared" si="182"/>
        <v>2560</v>
      </c>
      <c r="AB169" s="143">
        <f t="shared" si="182"/>
        <v>670.68000000000006</v>
      </c>
      <c r="AC169" s="116"/>
      <c r="AD169" s="150"/>
      <c r="AE169" s="150"/>
    </row>
    <row r="170" spans="1:31" s="38" customFormat="1" ht="0.75" customHeight="1" x14ac:dyDescent="0.25">
      <c r="A170" s="116" t="s">
        <v>109</v>
      </c>
      <c r="B170" s="96" t="s">
        <v>58</v>
      </c>
      <c r="C170" s="97"/>
      <c r="D170" s="97"/>
      <c r="E170" s="70">
        <f t="shared" si="90"/>
        <v>0</v>
      </c>
      <c r="F170" s="56"/>
      <c r="G170" s="56"/>
      <c r="H170" s="56">
        <v>0</v>
      </c>
      <c r="I170" s="93"/>
      <c r="J170" s="56"/>
      <c r="K170" s="56"/>
      <c r="L170" s="56"/>
      <c r="M170" s="70">
        <f>+O170+P170+R170+S170+T170</f>
        <v>295151.75</v>
      </c>
      <c r="N170" s="70">
        <f t="shared" ref="N170:T170" si="184">SUM(N158:N169)</f>
        <v>0</v>
      </c>
      <c r="O170" s="70">
        <f>SUM(O157:O169)</f>
        <v>214889.27999999997</v>
      </c>
      <c r="P170" s="70">
        <f>SUM(P157:P169)</f>
        <v>20840</v>
      </c>
      <c r="Q170" s="70">
        <f t="shared" si="184"/>
        <v>0</v>
      </c>
      <c r="R170" s="70">
        <f t="shared" si="184"/>
        <v>0</v>
      </c>
      <c r="S170" s="70">
        <f t="shared" si="184"/>
        <v>0</v>
      </c>
      <c r="T170" s="70">
        <f t="shared" si="184"/>
        <v>59422.47</v>
      </c>
      <c r="U170" s="70">
        <f>V170+W170+X170+AB170+Z170+AA170</f>
        <v>295151.75</v>
      </c>
      <c r="V170" s="146">
        <f t="shared" si="182"/>
        <v>0</v>
      </c>
      <c r="W170" s="133">
        <f>G170+O170</f>
        <v>214889.27999999997</v>
      </c>
      <c r="X170" s="133">
        <f>H170+P170</f>
        <v>20840</v>
      </c>
      <c r="Y170" s="146">
        <f t="shared" si="182"/>
        <v>0</v>
      </c>
      <c r="Z170" s="146">
        <f t="shared" si="182"/>
        <v>0</v>
      </c>
      <c r="AA170" s="146">
        <f t="shared" si="182"/>
        <v>0</v>
      </c>
      <c r="AB170" s="146">
        <f t="shared" si="182"/>
        <v>59422.47</v>
      </c>
      <c r="AC170" s="119"/>
      <c r="AD170" s="98"/>
      <c r="AE170" s="98"/>
    </row>
    <row r="171" spans="1:31" s="38" customFormat="1" ht="113.25" customHeight="1" x14ac:dyDescent="0.25">
      <c r="A171" s="116" t="s">
        <v>129</v>
      </c>
      <c r="B171" s="122" t="s">
        <v>58</v>
      </c>
      <c r="C171" s="101">
        <v>244</v>
      </c>
      <c r="D171" s="101">
        <v>349</v>
      </c>
      <c r="E171" s="70">
        <f>SUM(G171+H171+J171+K171+L171)+F171</f>
        <v>0</v>
      </c>
      <c r="F171" s="56"/>
      <c r="G171" s="56"/>
      <c r="H171" s="56"/>
      <c r="I171" s="93"/>
      <c r="J171" s="56"/>
      <c r="K171" s="56"/>
      <c r="L171" s="56"/>
      <c r="M171" s="70">
        <f t="shared" si="91"/>
        <v>3000</v>
      </c>
      <c r="N171" s="70"/>
      <c r="O171" s="56">
        <v>3000</v>
      </c>
      <c r="P171" s="56"/>
      <c r="Q171" s="56"/>
      <c r="R171" s="56"/>
      <c r="S171" s="56"/>
      <c r="T171" s="56"/>
      <c r="U171" s="70">
        <f t="shared" si="92"/>
        <v>3000</v>
      </c>
      <c r="V171" s="143">
        <f t="shared" si="182"/>
        <v>0</v>
      </c>
      <c r="W171" s="143">
        <f t="shared" si="182"/>
        <v>3000</v>
      </c>
      <c r="X171" s="143">
        <f t="shared" si="182"/>
        <v>0</v>
      </c>
      <c r="Y171" s="143">
        <f t="shared" si="182"/>
        <v>0</v>
      </c>
      <c r="Z171" s="143">
        <f t="shared" si="182"/>
        <v>0</v>
      </c>
      <c r="AA171" s="143">
        <f t="shared" si="182"/>
        <v>0</v>
      </c>
      <c r="AB171" s="143">
        <f t="shared" si="182"/>
        <v>0</v>
      </c>
      <c r="AC171" s="116" t="s">
        <v>160</v>
      </c>
      <c r="AD171" s="98"/>
      <c r="AE171" s="98"/>
    </row>
    <row r="172" spans="1:31" s="128" customFormat="1" ht="27.75" customHeight="1" x14ac:dyDescent="0.25">
      <c r="A172" s="107" t="s">
        <v>51</v>
      </c>
      <c r="B172" s="126" t="s">
        <v>58</v>
      </c>
      <c r="C172" s="106">
        <v>244</v>
      </c>
      <c r="D172" s="106">
        <v>349</v>
      </c>
      <c r="E172" s="70">
        <f>SUM(G172+H172+J172+K172+L172)+F172</f>
        <v>0</v>
      </c>
      <c r="F172" s="124"/>
      <c r="G172" s="124">
        <f>G171</f>
        <v>0</v>
      </c>
      <c r="H172" s="124">
        <f>H171</f>
        <v>0</v>
      </c>
      <c r="I172" s="127"/>
      <c r="J172" s="124">
        <f>SUM(J170:J170)</f>
        <v>0</v>
      </c>
      <c r="K172" s="124">
        <f>SUM(K170:K170)</f>
        <v>0</v>
      </c>
      <c r="L172" s="124">
        <f>SUM(L170:L170)</f>
        <v>0</v>
      </c>
      <c r="M172" s="70">
        <f t="shared" si="91"/>
        <v>0</v>
      </c>
      <c r="N172" s="70"/>
      <c r="O172" s="56"/>
      <c r="P172" s="56"/>
      <c r="Q172" s="56"/>
      <c r="R172" s="56"/>
      <c r="S172" s="56"/>
      <c r="T172" s="56"/>
      <c r="U172" s="70">
        <f t="shared" si="92"/>
        <v>0</v>
      </c>
      <c r="V172" s="143">
        <f t="shared" si="182"/>
        <v>0</v>
      </c>
      <c r="W172" s="143">
        <f t="shared" si="182"/>
        <v>0</v>
      </c>
      <c r="X172" s="143">
        <f t="shared" si="182"/>
        <v>0</v>
      </c>
      <c r="Y172" s="143">
        <f t="shared" si="182"/>
        <v>0</v>
      </c>
      <c r="Z172" s="143">
        <f t="shared" si="182"/>
        <v>0</v>
      </c>
      <c r="AA172" s="143">
        <f t="shared" si="182"/>
        <v>0</v>
      </c>
      <c r="AB172" s="143">
        <f t="shared" si="182"/>
        <v>0</v>
      </c>
      <c r="AC172" s="116"/>
      <c r="AD172" s="152"/>
      <c r="AE172" s="152"/>
    </row>
    <row r="173" spans="1:31" s="128" customFormat="1" ht="27.75" customHeight="1" x14ac:dyDescent="0.25">
      <c r="A173" s="107" t="s">
        <v>139</v>
      </c>
      <c r="B173" s="126" t="s">
        <v>58</v>
      </c>
      <c r="C173" s="106">
        <v>852</v>
      </c>
      <c r="D173" s="106">
        <v>291</v>
      </c>
      <c r="E173" s="70"/>
      <c r="F173" s="124"/>
      <c r="G173" s="124"/>
      <c r="H173" s="124">
        <v>2500</v>
      </c>
      <c r="I173" s="127"/>
      <c r="J173" s="124"/>
      <c r="K173" s="124"/>
      <c r="L173" s="124"/>
      <c r="M173" s="70">
        <f>+O173+P173+R173+S173+T173</f>
        <v>0</v>
      </c>
      <c r="N173" s="124">
        <f>SUM(N172)</f>
        <v>0</v>
      </c>
      <c r="O173" s="124">
        <f t="shared" ref="O173:T175" si="185">SUM(O172)</f>
        <v>0</v>
      </c>
      <c r="P173" s="124">
        <f t="shared" si="185"/>
        <v>0</v>
      </c>
      <c r="Q173" s="124">
        <f t="shared" si="185"/>
        <v>0</v>
      </c>
      <c r="R173" s="124">
        <f t="shared" si="185"/>
        <v>0</v>
      </c>
      <c r="S173" s="124">
        <f>SUM(S172)</f>
        <v>0</v>
      </c>
      <c r="T173" s="124">
        <f t="shared" si="185"/>
        <v>0</v>
      </c>
      <c r="U173" s="70">
        <f t="shared" ref="U173:U176" si="186">V173+W173+X173+AB173+Z173+AA173</f>
        <v>2500</v>
      </c>
      <c r="V173" s="146">
        <f t="shared" si="182"/>
        <v>0</v>
      </c>
      <c r="W173" s="146">
        <f t="shared" si="182"/>
        <v>0</v>
      </c>
      <c r="X173" s="146">
        <f t="shared" si="182"/>
        <v>2500</v>
      </c>
      <c r="Y173" s="146">
        <f t="shared" si="182"/>
        <v>0</v>
      </c>
      <c r="Z173" s="146">
        <f t="shared" si="182"/>
        <v>0</v>
      </c>
      <c r="AA173" s="146">
        <f t="shared" si="182"/>
        <v>0</v>
      </c>
      <c r="AB173" s="146">
        <f t="shared" si="182"/>
        <v>0</v>
      </c>
      <c r="AC173" s="123"/>
      <c r="AD173" s="152"/>
      <c r="AE173" s="152"/>
    </row>
    <row r="174" spans="1:31" s="128" customFormat="1" ht="27.75" customHeight="1" x14ac:dyDescent="0.25">
      <c r="A174" s="123" t="s">
        <v>138</v>
      </c>
      <c r="B174" s="126"/>
      <c r="C174" s="106">
        <v>852</v>
      </c>
      <c r="D174" s="106">
        <v>291</v>
      </c>
      <c r="E174" s="70">
        <f>SUM(G174+H174+J174+K174+L174)+F174</f>
        <v>2500</v>
      </c>
      <c r="F174" s="124"/>
      <c r="G174" s="124"/>
      <c r="H174" s="124">
        <f>H173</f>
        <v>2500</v>
      </c>
      <c r="I174" s="127"/>
      <c r="J174" s="124">
        <f>SUM(J172:J172)</f>
        <v>0</v>
      </c>
      <c r="K174" s="124">
        <f>SUM(K172:K172)</f>
        <v>0</v>
      </c>
      <c r="L174" s="124">
        <f>SUM(L172:L172)</f>
        <v>0</v>
      </c>
      <c r="M174" s="70"/>
      <c r="N174" s="124"/>
      <c r="O174" s="124"/>
      <c r="P174" s="124"/>
      <c r="Q174" s="124"/>
      <c r="R174" s="124"/>
      <c r="S174" s="124"/>
      <c r="T174" s="124"/>
      <c r="U174" s="70">
        <f t="shared" si="186"/>
        <v>2500</v>
      </c>
      <c r="V174" s="146">
        <f t="shared" si="182"/>
        <v>0</v>
      </c>
      <c r="W174" s="146">
        <f t="shared" si="182"/>
        <v>0</v>
      </c>
      <c r="X174" s="146">
        <f t="shared" si="182"/>
        <v>2500</v>
      </c>
      <c r="Y174" s="146">
        <f t="shared" si="182"/>
        <v>0</v>
      </c>
      <c r="Z174" s="146">
        <f t="shared" si="182"/>
        <v>0</v>
      </c>
      <c r="AA174" s="146">
        <f t="shared" si="182"/>
        <v>0</v>
      </c>
      <c r="AB174" s="146">
        <f t="shared" si="182"/>
        <v>0</v>
      </c>
      <c r="AC174" s="107"/>
      <c r="AD174" s="152"/>
      <c r="AE174" s="152"/>
    </row>
    <row r="175" spans="1:31" x14ac:dyDescent="0.25">
      <c r="A175" s="101" t="s">
        <v>127</v>
      </c>
      <c r="B175" s="101"/>
      <c r="C175" s="101">
        <v>610</v>
      </c>
      <c r="D175" s="101"/>
      <c r="E175" s="70">
        <f t="shared" ref="E175:E176" si="187">SUM(G175+H175+J175+K175+L175)+F175</f>
        <v>0</v>
      </c>
      <c r="F175" s="106"/>
      <c r="G175" s="101"/>
      <c r="H175" s="101"/>
      <c r="I175" s="101"/>
      <c r="J175" s="101"/>
      <c r="K175" s="101"/>
      <c r="L175" s="101"/>
      <c r="M175" s="70">
        <f>+O175+P175+R175+S175+T175</f>
        <v>70980</v>
      </c>
      <c r="N175" s="124">
        <f>SUM(N174)</f>
        <v>0</v>
      </c>
      <c r="O175" s="124">
        <f t="shared" si="185"/>
        <v>0</v>
      </c>
      <c r="P175" s="124">
        <f>P176</f>
        <v>70980</v>
      </c>
      <c r="Q175" s="124">
        <f t="shared" si="185"/>
        <v>0</v>
      </c>
      <c r="R175" s="124">
        <f t="shared" si="185"/>
        <v>0</v>
      </c>
      <c r="S175" s="124">
        <f t="shared" si="185"/>
        <v>0</v>
      </c>
      <c r="T175" s="124">
        <f t="shared" si="185"/>
        <v>0</v>
      </c>
      <c r="U175" s="70">
        <f t="shared" si="186"/>
        <v>70980</v>
      </c>
      <c r="V175" s="146">
        <f t="shared" si="182"/>
        <v>0</v>
      </c>
      <c r="W175" s="146">
        <f t="shared" si="182"/>
        <v>0</v>
      </c>
      <c r="X175" s="146">
        <f t="shared" si="182"/>
        <v>70980</v>
      </c>
      <c r="Y175" s="146">
        <f t="shared" si="182"/>
        <v>0</v>
      </c>
      <c r="Z175" s="146">
        <f t="shared" si="182"/>
        <v>0</v>
      </c>
      <c r="AA175" s="146">
        <f t="shared" si="182"/>
        <v>0</v>
      </c>
      <c r="AB175" s="146">
        <f t="shared" si="182"/>
        <v>0</v>
      </c>
      <c r="AC175" s="123"/>
    </row>
    <row r="176" spans="1:31" ht="25.5" x14ac:dyDescent="0.25">
      <c r="A176" s="107" t="s">
        <v>128</v>
      </c>
      <c r="B176" s="100"/>
      <c r="C176" s="100"/>
      <c r="D176" s="100"/>
      <c r="E176" s="70">
        <f t="shared" si="187"/>
        <v>0</v>
      </c>
      <c r="F176" s="108"/>
      <c r="G176" s="99"/>
      <c r="H176" s="99"/>
      <c r="I176" s="99"/>
      <c r="J176" s="99"/>
      <c r="K176" s="99"/>
      <c r="L176" s="99"/>
      <c r="M176" s="70">
        <f t="shared" ref="M176" si="188">+O176+P176+R176+S176+T176</f>
        <v>70980</v>
      </c>
      <c r="N176" s="106"/>
      <c r="O176" s="101"/>
      <c r="P176" s="101">
        <v>70980</v>
      </c>
      <c r="Q176" s="101"/>
      <c r="R176" s="101"/>
      <c r="S176" s="101"/>
      <c r="T176" s="101"/>
      <c r="U176" s="70">
        <f t="shared" si="186"/>
        <v>70980</v>
      </c>
      <c r="V176" s="143">
        <f t="shared" si="182"/>
        <v>0</v>
      </c>
      <c r="W176" s="143">
        <f t="shared" si="182"/>
        <v>0</v>
      </c>
      <c r="X176" s="143">
        <f t="shared" si="182"/>
        <v>70980</v>
      </c>
      <c r="Y176" s="143">
        <f t="shared" si="182"/>
        <v>0</v>
      </c>
      <c r="Z176" s="143">
        <f t="shared" si="182"/>
        <v>0</v>
      </c>
      <c r="AA176" s="143">
        <f t="shared" si="182"/>
        <v>0</v>
      </c>
      <c r="AB176" s="143">
        <f t="shared" si="182"/>
        <v>0</v>
      </c>
      <c r="AC176" s="107"/>
    </row>
    <row r="177" spans="1:31" s="50" customFormat="1" x14ac:dyDescent="0.25">
      <c r="A177" s="118" t="s">
        <v>17</v>
      </c>
      <c r="B177" s="120"/>
      <c r="C177" s="118"/>
      <c r="D177" s="118"/>
      <c r="E177" s="70">
        <f>SUM(G177:H177,J177:K177)+L177+F177</f>
        <v>20971660.521639999</v>
      </c>
      <c r="F177" s="70">
        <f>F36+F49+F55+F67+F80+F112+F139+F146+F169+F154+F150+F141+F43+F41+F39+F172</f>
        <v>0</v>
      </c>
      <c r="G177" s="70">
        <f>G36+G49+G55+G67+G80+G112+G139+G146+G169+G154+G150+G141+G43+G41+G39+G172</f>
        <v>0</v>
      </c>
      <c r="H177" s="70">
        <f>H36+H49+H55+H67+H80+H112+H139+H146+H169+H154+H150+H141+H43+H41+H39+H172+H174+H156</f>
        <v>6731750.4316400001</v>
      </c>
      <c r="I177" s="70"/>
      <c r="J177" s="70">
        <f>J36+J49+J55+J67+J80+J112+J139+J146+J169+J154+J150+J141+J43+J41+J39+J172</f>
        <v>0</v>
      </c>
      <c r="K177" s="70">
        <f>K36+K49+K55+K67+K80+K112+K139+K146+K169+K154+K150+K141+K43+K41+K39+K172</f>
        <v>13286940.84</v>
      </c>
      <c r="L177" s="70">
        <f>L36+L49+L55+L67+L80+L112+L139+L146+L169+L154+L150+L141+L43+L41+L39+L172</f>
        <v>952969.25</v>
      </c>
      <c r="M177" s="70">
        <f>+O177+P177+R177+S177+T177+N177</f>
        <v>7154398.8714400046</v>
      </c>
      <c r="N177" s="139">
        <f>N178+N179+N180+N181+N182</f>
        <v>898348.09</v>
      </c>
      <c r="O177" s="139">
        <f>O178+O179+O180+O181+O182</f>
        <v>18881661.801440004</v>
      </c>
      <c r="P177" s="139">
        <f>P178+P179+P180+P181+P182</f>
        <v>294294.77</v>
      </c>
      <c r="Q177" s="139">
        <f t="shared" ref="Q177:R177" si="189">Q178+Q179+Q180+Q181+Q182</f>
        <v>963324005</v>
      </c>
      <c r="R177" s="139">
        <f t="shared" si="189"/>
        <v>0</v>
      </c>
      <c r="S177" s="139">
        <f>S178+S179+S180+S181+S182</f>
        <v>-13012510.379999999</v>
      </c>
      <c r="T177" s="139">
        <f>T178+T179+T180+T181+T182</f>
        <v>92604.590000000026</v>
      </c>
      <c r="U177" s="70">
        <f>V177+W177+X177+AB177+Z177+AA177</f>
        <v>28126059.393080007</v>
      </c>
      <c r="V177" s="136">
        <f>F177+N177</f>
        <v>898348.09</v>
      </c>
      <c r="W177" s="136">
        <f>G177+O177</f>
        <v>18881661.801440004</v>
      </c>
      <c r="X177" s="133">
        <f>H177+P177</f>
        <v>7026045.2016400006</v>
      </c>
      <c r="Y177" s="143">
        <f t="shared" si="182"/>
        <v>963324005</v>
      </c>
      <c r="Z177" s="143">
        <f t="shared" si="182"/>
        <v>0</v>
      </c>
      <c r="AA177" s="133">
        <f>K177+S177</f>
        <v>274430.46000000089</v>
      </c>
      <c r="AB177" s="133">
        <f>L177+T177</f>
        <v>1045573.8400000001</v>
      </c>
      <c r="AC177" s="107"/>
      <c r="AD177" s="150"/>
      <c r="AE177" s="150"/>
    </row>
    <row r="178" spans="1:31" s="50" customFormat="1" x14ac:dyDescent="0.25">
      <c r="A178" s="118" t="s">
        <v>17</v>
      </c>
      <c r="B178" s="120" t="s">
        <v>56</v>
      </c>
      <c r="C178" s="118"/>
      <c r="D178" s="118"/>
      <c r="E178" s="70">
        <f>G178+H178+K178+L178</f>
        <v>9801733.6016399991</v>
      </c>
      <c r="F178" s="70">
        <f>F167+F164+F160+F144+F53+F50+F56+F60+F64+F65+F66+F68+F71+F74+F77+F44+F30+F37</f>
        <v>0</v>
      </c>
      <c r="G178" s="70">
        <f>G167+G164+G160+G144+G44+G37+G30</f>
        <v>0</v>
      </c>
      <c r="H178" s="70">
        <f>H167+H164+H160+H144+H53+H50+H56+H60+H65+H66+H68+H71+H74+H77+H44+H30+H37+H148+H147+H145+H132+H129+H128+H127+H126+H125+H109+H108+H106+H105+H104+H102+H101+H100+H99+H98+H97+H96+H95+H63+H130+H155+H107</f>
        <v>4117300.0016399999</v>
      </c>
      <c r="I178" s="70"/>
      <c r="J178" s="70">
        <f>J167+J164+J160+J144+J53+J50+J56+J60+J64+J65+J66+J68+J71+J74+J77+J44+J30+J37+J147+J132+J129+J128+J127+J126+J125++J108+J106+J105+J104+J102+J101+J99+J98+J97+J96+J95+J109</f>
        <v>0</v>
      </c>
      <c r="K178" s="70">
        <f>K167+K164+K160+K144+K53+K50+K56+K60+K64+K65+K66+K68+K71+K74+K77+K44+K30+K37+K147+K132+K129+K128+K127+K126+K125++K108+K106+K105+K104+K102+K101+K99+K98+K97+K96+K95+K109</f>
        <v>5103630.5999999996</v>
      </c>
      <c r="L178" s="70">
        <f>L167+L164+L160+L144+L53+L50+L56+L60+L64+L65+L66+L68+L71+L74+L77+L44+L30+L37+L148+L132+L129+L128+L127+L126+L125++L108+L106+L105+L104+L102+L101+L99+L98+L97+L96+L95+L109</f>
        <v>580803</v>
      </c>
      <c r="M178" s="70">
        <f>M167+M166+M165+M164+M160+M155+M148+M144+M143+M142+M132+M131+M130+M129+M128+M127+M126+M125+M108+M109+M107+M106+M105+M104+M102+M101+M100+M99+M98+M97+M96+M95+M77+M74+M71+M68+M66+M65+M63+M60+M56+M53+M50+M44+M37+M30</f>
        <v>573545.72000000067</v>
      </c>
      <c r="N178" s="70">
        <f t="shared" ref="N178:S178" si="190">N167+N164+N160+N155+N148+N144+N143+N142+N132+N131+N130+N129+N128+N127+N126+N125+N109+N108+N107+N106+N105+N104+N102+N101+N100+N99+N98+N97+N96+N95+N77+N74+N71+N68+N66+N65+N63+N60+N56+N53+N50+N44+N37+N30+N165+N166</f>
        <v>0</v>
      </c>
      <c r="O178" s="70">
        <f>O167+O164+O160+O155+O148+O144+O143+O142+O132+O131+O130+O129+O128+O127+O126+O125+O109+O108+O107+O106+O105+O104+O102+O101+O100+O99+O98+O97+O96+O95+O77+O74+O71+O68+O66+O65+O63+O60+O56+O53+O50+O44+O37+O30+O165+O166</f>
        <v>5626260</v>
      </c>
      <c r="P178" s="70">
        <f>P167+P164+P160+P155+P148+P144+P143+P142+P132+P131+P130+P129+P128+P127+P126+P125+P109+P108+P107+P106+P105+P104+P102+P101+P100+P99+P98+P97+P96+P95+P77+P74+P71+P68+P66+P65+P63+P60+P56+P53+P50+P44+P37+P30+P165+P166</f>
        <v>112493.85</v>
      </c>
      <c r="Q178" s="70">
        <f t="shared" si="190"/>
        <v>963324005</v>
      </c>
      <c r="R178" s="70">
        <f t="shared" si="190"/>
        <v>0</v>
      </c>
      <c r="S178" s="70">
        <f t="shared" si="190"/>
        <v>-4947430.5999999996</v>
      </c>
      <c r="T178" s="70">
        <f>T167+T164+T160+T155+T148+T144+T143+T142+T132+T131+T130+T129+T128+T127+T126+T125+T109+T108+T107+T106+T105+T104+T102+T101+T100+T99+T98+T97+T96+T95+T77+T74+T71+T68+T66+T65+T63+T60+T56+T53+T50+T44+T37+T30+T165+T166</f>
        <v>-217777.53</v>
      </c>
      <c r="U178" s="70">
        <f>W178+X178+AA178+AB178+V178</f>
        <v>10375279.321640002</v>
      </c>
      <c r="V178" s="133">
        <f t="shared" ref="V178:X178" si="191">F178+N178</f>
        <v>0</v>
      </c>
      <c r="W178" s="133">
        <f t="shared" si="191"/>
        <v>5626260</v>
      </c>
      <c r="X178" s="133">
        <f t="shared" si="191"/>
        <v>4229793.85164</v>
      </c>
      <c r="Y178" s="146">
        <f t="shared" si="182"/>
        <v>963324005</v>
      </c>
      <c r="Z178" s="146">
        <f t="shared" si="182"/>
        <v>0</v>
      </c>
      <c r="AA178" s="133">
        <f>K178+S178</f>
        <v>156200</v>
      </c>
      <c r="AB178" s="133">
        <f t="shared" ref="AB178" si="192">L178+T178</f>
        <v>363025.47</v>
      </c>
      <c r="AC178" s="70"/>
      <c r="AD178" s="150"/>
      <c r="AE178" s="150"/>
    </row>
    <row r="179" spans="1:31" s="50" customFormat="1" x14ac:dyDescent="0.25">
      <c r="A179" s="97" t="s">
        <v>17</v>
      </c>
      <c r="B179" s="120" t="s">
        <v>58</v>
      </c>
      <c r="C179" s="118"/>
      <c r="D179" s="118"/>
      <c r="E179" s="70">
        <f>G179+H179+K179+L179+F179</f>
        <v>10807963.65</v>
      </c>
      <c r="F179" s="70">
        <f>F171+F168+F163+F153+F137+F124+F123+F122+F119+F91+F90+F89+F88+F87+F86+F85+F84+F83+F82+F79+F76+F73+F70+F62+F59+F54+F52+F46+F45+F38+F32+F31</f>
        <v>0</v>
      </c>
      <c r="G179" s="70">
        <f>G171+G168+G163+G153+G137+G124+G123+G122+G119+G91+G90+G89+G88+G87+G86+G85+G84+G83+G82+G79+G76+G73+G70+G62+G59+G54+G52+G46+G45+G38+G32+G31+G162+G51+G173+G135+G134+G133+G103+G94+G93+G92</f>
        <v>0</v>
      </c>
      <c r="H179" s="70">
        <f>H171+H168+H163+H153+H137+H124+H123+H122+H119+H91+H90+H89+H88+H87+H86+H85+H84+H83+H82+H79+H76+H73+H70+H62+H59+H54+H52+H46+H45+H38+H32+H31+H162+H51+H173+H135+H134+H133+H103+H94+H93+H92+H64</f>
        <v>2371397</v>
      </c>
      <c r="I179" s="70"/>
      <c r="J179" s="70">
        <f>J171+J168+J163+J153+J137+J124+J123+J122+J119+J91+J90+J89+J88+J87+J86+J85+J84+J83+J82+J79+J76+J73+J70+J62+J59+J54+J52+J46+J45+J38+J32+J31</f>
        <v>0</v>
      </c>
      <c r="K179" s="70">
        <f>K171+K168+K163+K153+K137+K124+K123+K122+K119+K91+K90+K89+K88+K87+K86+K85+K84+K83+K82+K79+K76+K73+K70+K62+K59+K54+K52+K46+K45+K38+K32+K31+K94</f>
        <v>8113680.4000000004</v>
      </c>
      <c r="L179" s="70">
        <f>L171+L168+L163+L153+L137+L124+L123+L122+L119+L91+L90+L89+L88+L87+L86+L85+L84+L83+L82+L79+L76+L73+L70+L62+L59+L54+L52+L46+L45+L38+L32+L31</f>
        <v>322886.25</v>
      </c>
      <c r="M179" s="70">
        <f>N179+O179+P179+S179+T179</f>
        <v>6235216.3814400006</v>
      </c>
      <c r="N179" s="70">
        <f t="shared" ref="N179" si="193">N173+N171+N168+N163+N162+N161+N153+N152+N151+N145+N137+N136+N135+N134+N133+N123+N122+N121+N120+N119+N103+N94+N93+N92+N91+N90+N89+N88+N87+N86+N85+N84+N83+N82+N79+N78+N76+N75+N73+N72+N70+N69+N64+N62+N61+N59+N58+N57+N54+N52+N51+N46+N45+N38+N32+N31+N2</f>
        <v>898348.09</v>
      </c>
      <c r="O179" s="70">
        <f>O173+O171+O168+O163+O162+O161+O153+O152+O151+O145+O137+O136+O135+O134+O133+O123+O122+O121+O120+O119+O103+O94+O93+O92+O91+O90+O89+O88+O87+O86+O85+O84+O83+O82+O79+O78+O76+O75+O73+O72+O70+O69+O64+O62+O61+O59+O58+O57+O54+O52+O51+O46+O45+O38+O32+O31+O2</f>
        <v>12943113.041440001</v>
      </c>
      <c r="P179" s="70">
        <f t="shared" ref="P179:S179" si="194">P173+P171+P168+P163+P162+P161+P153+P152+P151+P145+P137+P136+P135+P134+P133+P123+P122+P121+P120+P119+P103+P94+P93+P92+P91+P90+P89+P88+P87+P86+P85+P84+P83+P82+P79+P78+P76+P75+P73+P72+P70+P69+P64+P62+P61+P59+P58+P57+P54+P52+P51+P46+P45+P38+P32+P31+P2</f>
        <v>151302.32</v>
      </c>
      <c r="Q179" s="70"/>
      <c r="R179" s="70">
        <f t="shared" si="194"/>
        <v>0</v>
      </c>
      <c r="S179" s="70">
        <f t="shared" si="194"/>
        <v>-8065079.7800000003</v>
      </c>
      <c r="T179" s="70">
        <f>T173+T171+T168+T163+T162+T161+T153+T152+T151+T145+T137+T136+T135+T134+T133+T123+T122+T121+T120+T119+T103+T94+T93+T92+T91+T90+T89+T88+T87+T86+T85+T84+T83+T82+T79+T78+T76+T75+T73+T72+T70+T69+T64+T62+T61+T59+T58+T57+T54+T52+T51+T46+T45+T38+T32+T31+T2</f>
        <v>307532.71000000002</v>
      </c>
      <c r="U179" s="70">
        <f>W179+X179+AA179+AB179+V179</f>
        <v>17043180.031440001</v>
      </c>
      <c r="V179" s="133">
        <f>F179+N179</f>
        <v>898348.09</v>
      </c>
      <c r="W179" s="133">
        <f>G179+O179</f>
        <v>12943113.041440001</v>
      </c>
      <c r="X179" s="133">
        <f>H179+P179</f>
        <v>2522699.3199999998</v>
      </c>
      <c r="Y179" s="146">
        <f t="shared" si="182"/>
        <v>0</v>
      </c>
      <c r="Z179" s="146">
        <f t="shared" si="182"/>
        <v>0</v>
      </c>
      <c r="AA179" s="133">
        <f>K179+S179</f>
        <v>48600.620000000112</v>
      </c>
      <c r="AB179" s="133">
        <f>L179+T179</f>
        <v>630418.96</v>
      </c>
      <c r="AC179" s="118"/>
      <c r="AD179" s="150"/>
      <c r="AE179" s="150"/>
    </row>
    <row r="180" spans="1:31" s="50" customFormat="1" x14ac:dyDescent="0.25">
      <c r="A180" s="118" t="s">
        <v>17</v>
      </c>
      <c r="B180" s="120" t="s">
        <v>63</v>
      </c>
      <c r="C180" s="118"/>
      <c r="D180" s="118"/>
      <c r="E180" s="70">
        <f>K180</f>
        <v>69629.84</v>
      </c>
      <c r="F180" s="70"/>
      <c r="G180" s="70"/>
      <c r="H180" s="70"/>
      <c r="I180" s="70"/>
      <c r="J180" s="70"/>
      <c r="K180" s="70">
        <f>K33+K48+K158</f>
        <v>69629.84</v>
      </c>
      <c r="L180" s="70">
        <f t="shared" ref="L180:T180" si="195">L33+L48+L158</f>
        <v>0</v>
      </c>
      <c r="M180" s="70">
        <f>M33+M48+M158</f>
        <v>0</v>
      </c>
      <c r="N180" s="70">
        <f t="shared" si="195"/>
        <v>0</v>
      </c>
      <c r="O180" s="70">
        <f t="shared" si="195"/>
        <v>0</v>
      </c>
      <c r="P180" s="70">
        <f t="shared" si="195"/>
        <v>0</v>
      </c>
      <c r="Q180" s="70">
        <f t="shared" si="195"/>
        <v>0</v>
      </c>
      <c r="R180" s="70">
        <f t="shared" si="195"/>
        <v>0</v>
      </c>
      <c r="S180" s="70">
        <f>S33+S48+S158</f>
        <v>0</v>
      </c>
      <c r="T180" s="70">
        <f t="shared" si="195"/>
        <v>0</v>
      </c>
      <c r="U180" s="70">
        <f>E180+M180</f>
        <v>69629.84</v>
      </c>
      <c r="V180" s="133">
        <f t="shared" ref="V180:V181" si="196">F180+N180</f>
        <v>0</v>
      </c>
      <c r="W180" s="133">
        <f>G180+O180</f>
        <v>0</v>
      </c>
      <c r="X180" s="133">
        <f t="shared" ref="X180:X182" si="197">H180+P180</f>
        <v>0</v>
      </c>
      <c r="Y180" s="70"/>
      <c r="Z180" s="70">
        <f>Z172+Z169+Z164+Z154+Z138+Z137+Z135+Z134+Z125+Z124+Z123+Z122+Z94+Z93+Z92+Z91+Z90+Z89+Z88+Z87+Z86+Z85+Z84+Z83+Z77+Z74+Z71+Z64+Z60+Z55+Z53+Z47+Z46+Z39+Z33+Z80+Z32</f>
        <v>0</v>
      </c>
      <c r="AA180" s="70">
        <f>AA33+AA48+AA158</f>
        <v>69629.84</v>
      </c>
      <c r="AB180" s="70">
        <f>AB33+AB48+AB158</f>
        <v>0</v>
      </c>
      <c r="AC180" s="118"/>
      <c r="AD180" s="150"/>
      <c r="AE180" s="150"/>
    </row>
    <row r="181" spans="1:31" s="50" customFormat="1" x14ac:dyDescent="0.25">
      <c r="A181" s="118" t="s">
        <v>17</v>
      </c>
      <c r="B181" s="120" t="s">
        <v>59</v>
      </c>
      <c r="C181" s="118"/>
      <c r="D181" s="118"/>
      <c r="E181" s="70">
        <f>+K181+G181+H181+L181</f>
        <v>292333.43</v>
      </c>
      <c r="F181" s="70"/>
      <c r="G181" s="70">
        <f>G159+G157+G140+G118+G116+G115+G81+G47+G34+G117+G111+G110</f>
        <v>0</v>
      </c>
      <c r="H181" s="70">
        <f t="shared" ref="H181:N181" si="198">H34+H42+H47+H81+H110+H113+H114+H115+H116+H117+H118+H140+H157+H159</f>
        <v>243053.43</v>
      </c>
      <c r="I181" s="70">
        <f t="shared" si="198"/>
        <v>0</v>
      </c>
      <c r="J181" s="70">
        <f t="shared" si="198"/>
        <v>0</v>
      </c>
      <c r="K181" s="70">
        <f t="shared" si="198"/>
        <v>0</v>
      </c>
      <c r="L181" s="70">
        <f t="shared" si="198"/>
        <v>49280</v>
      </c>
      <c r="M181" s="70">
        <f>+O181+P181+R181+S181+T181+N181</f>
        <v>65636.77</v>
      </c>
      <c r="N181" s="70">
        <f t="shared" si="198"/>
        <v>0</v>
      </c>
      <c r="O181" s="70">
        <f>O34+O42+O47+O81+O110+O113+O114+O115+O116+O117+O118+O140+O157+O159+O111</f>
        <v>32288.76</v>
      </c>
      <c r="P181" s="70">
        <f>P34+P42+P47+P81+P110+P113+P114+P115+P116+P117+P118+P140+P157+P159+P111</f>
        <v>30498.6</v>
      </c>
      <c r="Q181" s="70">
        <f t="shared" ref="Q181:S181" si="199">Q34+Q42+Q47+Q81+Q110+Q113+Q114+Q115+Q116+Q117+Q118+Q140+Q157+Q159</f>
        <v>0</v>
      </c>
      <c r="R181" s="70">
        <f t="shared" si="199"/>
        <v>0</v>
      </c>
      <c r="S181" s="70">
        <f t="shared" si="199"/>
        <v>0</v>
      </c>
      <c r="T181" s="70">
        <f>T34+T42+T47+T81+T110+T113+T114+T115+T116+T117+T118+T140+T157+T159+T111</f>
        <v>2849.41</v>
      </c>
      <c r="U181" s="133">
        <f>E181+M181</f>
        <v>357970.2</v>
      </c>
      <c r="V181" s="133">
        <f t="shared" si="196"/>
        <v>0</v>
      </c>
      <c r="W181" s="133">
        <f>G181+O181</f>
        <v>32288.76</v>
      </c>
      <c r="X181" s="133">
        <f t="shared" si="197"/>
        <v>273552.02999999997</v>
      </c>
      <c r="Y181" s="146">
        <f t="shared" si="182"/>
        <v>0</v>
      </c>
      <c r="Z181" s="146">
        <f t="shared" si="182"/>
        <v>0</v>
      </c>
      <c r="AA181" s="146">
        <f t="shared" si="182"/>
        <v>0</v>
      </c>
      <c r="AB181" s="146">
        <f t="shared" si="182"/>
        <v>52129.41</v>
      </c>
      <c r="AC181" s="118"/>
      <c r="AD181" s="150"/>
      <c r="AE181" s="150"/>
    </row>
    <row r="182" spans="1:31" s="38" customFormat="1" ht="23.25" customHeight="1" x14ac:dyDescent="0.25">
      <c r="A182" s="116"/>
      <c r="B182" s="120" t="s">
        <v>57</v>
      </c>
      <c r="C182" s="97"/>
      <c r="D182" s="97"/>
      <c r="E182" s="70">
        <f>+K182+G182+H182+L182</f>
        <v>0</v>
      </c>
      <c r="F182" s="70"/>
      <c r="G182" s="70">
        <f>G149</f>
        <v>0</v>
      </c>
      <c r="H182" s="70"/>
      <c r="I182" s="70"/>
      <c r="J182" s="70"/>
      <c r="K182" s="70"/>
      <c r="L182" s="70"/>
      <c r="M182" s="70">
        <f>+O182+P182+R182+S182+T182+N182</f>
        <v>280000</v>
      </c>
      <c r="N182" s="70">
        <f>N160+N158+N141+N119+N117+N116+N82+N48+N35+N118+N115+N114</f>
        <v>0</v>
      </c>
      <c r="O182" s="70">
        <f>O149</f>
        <v>280000</v>
      </c>
      <c r="P182" s="70"/>
      <c r="Q182" s="70">
        <f>Q160+Q158+Q141+Q119+Q117+Q116+Q82+Q48+Q35+Q118+Q115+Q114+Q112</f>
        <v>0</v>
      </c>
      <c r="R182" s="70">
        <f>R160+R158+R141+R119+R117+R116+R82+R48+R35+R118+R115+R114+R112</f>
        <v>0</v>
      </c>
      <c r="S182" s="70">
        <f>S160+S158+S141+S119+S117+S116+S82+S48+S35+S118+S115+S114+S112</f>
        <v>0</v>
      </c>
      <c r="T182" s="70">
        <f>T149</f>
        <v>0</v>
      </c>
      <c r="U182" s="70">
        <f t="shared" ref="U182:U183" si="200">+AA182+W182+X182+AB182</f>
        <v>280000</v>
      </c>
      <c r="V182" s="146"/>
      <c r="W182" s="133">
        <f>G182+O182</f>
        <v>280000</v>
      </c>
      <c r="X182" s="133">
        <f t="shared" si="197"/>
        <v>0</v>
      </c>
      <c r="Y182" s="133">
        <f t="shared" si="182"/>
        <v>0</v>
      </c>
      <c r="Z182" s="133">
        <f t="shared" si="182"/>
        <v>0</v>
      </c>
      <c r="AA182" s="133">
        <f t="shared" si="182"/>
        <v>0</v>
      </c>
      <c r="AB182" s="133"/>
      <c r="AC182" s="118"/>
      <c r="AD182" s="98"/>
      <c r="AE182" s="98"/>
    </row>
    <row r="183" spans="1:31" s="129" customFormat="1" ht="27" customHeight="1" x14ac:dyDescent="0.25">
      <c r="A183" s="119" t="s">
        <v>42</v>
      </c>
      <c r="B183" s="120" t="s">
        <v>56</v>
      </c>
      <c r="C183" s="118">
        <v>180</v>
      </c>
      <c r="D183" s="118">
        <v>189</v>
      </c>
      <c r="E183" s="70">
        <f>+K183+G183+H183+L183</f>
        <v>-5867</v>
      </c>
      <c r="F183" s="70"/>
      <c r="G183" s="70"/>
      <c r="H183" s="70">
        <v>0</v>
      </c>
      <c r="I183" s="70"/>
      <c r="J183" s="70"/>
      <c r="K183" s="70"/>
      <c r="L183" s="70">
        <f>-5867</f>
        <v>-5867</v>
      </c>
      <c r="M183" s="70">
        <f>N183+O183+P183+T183</f>
        <v>2800</v>
      </c>
      <c r="N183" s="70"/>
      <c r="O183" s="70">
        <v>0</v>
      </c>
      <c r="P183" s="70"/>
      <c r="Q183" s="70"/>
      <c r="R183" s="70"/>
      <c r="S183" s="70"/>
      <c r="T183" s="70">
        <v>2800</v>
      </c>
      <c r="U183" s="70">
        <f t="shared" si="200"/>
        <v>-3067</v>
      </c>
      <c r="V183" s="146"/>
      <c r="W183" s="146">
        <f>W150</f>
        <v>0</v>
      </c>
      <c r="X183" s="146"/>
      <c r="Y183" s="146"/>
      <c r="Z183" s="146"/>
      <c r="AA183" s="146"/>
      <c r="AB183" s="133">
        <f>L183+T183</f>
        <v>-3067</v>
      </c>
      <c r="AC183" s="116"/>
      <c r="AD183" s="150"/>
      <c r="AE183" s="150"/>
    </row>
    <row r="184" spans="1:31" s="102" customFormat="1" ht="20.25" customHeight="1" x14ac:dyDescent="0.25">
      <c r="A184" s="94"/>
      <c r="B184" s="109"/>
      <c r="C184" s="94"/>
      <c r="D184" s="94"/>
      <c r="E184" s="111">
        <f t="shared" ref="E184:AA184" si="201">E12+E29-E177-E175+E183</f>
        <v>-1.6399994492530823E-3</v>
      </c>
      <c r="F184" s="111">
        <f t="shared" si="201"/>
        <v>0</v>
      </c>
      <c r="G184" s="111">
        <f t="shared" si="201"/>
        <v>0</v>
      </c>
      <c r="H184" s="111">
        <f t="shared" si="201"/>
        <v>-1.6400003805756569E-3</v>
      </c>
      <c r="I184" s="111">
        <f t="shared" si="201"/>
        <v>0</v>
      </c>
      <c r="J184" s="111">
        <f t="shared" si="201"/>
        <v>0</v>
      </c>
      <c r="K184" s="111">
        <f t="shared" si="201"/>
        <v>0</v>
      </c>
      <c r="L184" s="111">
        <f t="shared" si="201"/>
        <v>0</v>
      </c>
      <c r="M184" s="111">
        <f>M12+M13+M29-M177+M183-M175+M11</f>
        <v>-1.4400065992958844E-3</v>
      </c>
      <c r="N184" s="111">
        <f>N12+N13+N29-N177+N183</f>
        <v>0</v>
      </c>
      <c r="O184" s="111">
        <f>O12+O13+O29-O177+O183</f>
        <v>-1.4400072395801544E-3</v>
      </c>
      <c r="P184" s="111">
        <f>P12+P13+P29-P177+P183-P175+P11</f>
        <v>0</v>
      </c>
      <c r="Q184" s="111"/>
      <c r="R184" s="111">
        <f>R12+R13+R29-R177+R183</f>
        <v>0</v>
      </c>
      <c r="S184" s="111">
        <f>S12+S13+S29-S177+S183</f>
        <v>-1.862645149230957E-9</v>
      </c>
      <c r="T184" s="111">
        <f>T12+T13+T29-T177+T183+T11</f>
        <v>0</v>
      </c>
      <c r="U184" s="111">
        <f>U12+U29-U177-U175+U183+U13+U11</f>
        <v>-3.0800069798715413E-3</v>
      </c>
      <c r="V184" s="111">
        <f t="shared" si="201"/>
        <v>0</v>
      </c>
      <c r="W184" s="111">
        <f>W12+W29-W177-W175+W183+W11+W13</f>
        <v>-1.4400072395801544E-3</v>
      </c>
      <c r="X184" s="111">
        <f>X12+X29-X177-X175+X183+X11+X13</f>
        <v>-1.6400007843913045E-3</v>
      </c>
      <c r="Y184" s="111"/>
      <c r="Z184" s="111">
        <f t="shared" si="201"/>
        <v>0</v>
      </c>
      <c r="AA184" s="111">
        <f t="shared" si="201"/>
        <v>-1.862645149230957E-9</v>
      </c>
      <c r="AB184" s="111">
        <f>AB12+AB29-AB177-AB175+AB183+AB13+AB11</f>
        <v>-1.1641532182693481E-10</v>
      </c>
      <c r="AC184" s="70"/>
      <c r="AD184" s="153"/>
      <c r="AE184" s="153"/>
    </row>
    <row r="185" spans="1:31" s="102" customFormat="1" ht="16.5" customHeight="1" x14ac:dyDescent="0.25">
      <c r="A185" s="94"/>
      <c r="B185" s="112"/>
      <c r="C185" s="94"/>
      <c r="D185" s="94"/>
      <c r="E185" s="111">
        <f>E29-E177+E183</f>
        <v>-1.6399994492530823E-3</v>
      </c>
      <c r="F185" s="111">
        <f>F177-F29-F12+F176</f>
        <v>0</v>
      </c>
      <c r="G185" s="111">
        <f>G177-G29-G12+G176</f>
        <v>0</v>
      </c>
      <c r="H185" s="111">
        <f>H177-H29-H12+H176+H183</f>
        <v>1.6400003805756569E-3</v>
      </c>
      <c r="I185" s="94"/>
      <c r="J185" s="94"/>
      <c r="K185" s="94"/>
      <c r="L185" s="94"/>
      <c r="M185" s="111"/>
      <c r="N185" s="111"/>
      <c r="O185" s="111"/>
      <c r="P185" s="111"/>
      <c r="Q185" s="111">
        <f t="shared" ref="Q185:R185" si="202">Q12+Q30-Q178-Q176</f>
        <v>-963324005</v>
      </c>
      <c r="R185" s="111">
        <f t="shared" si="202"/>
        <v>0</v>
      </c>
      <c r="S185" s="111">
        <f>S12+S30-S178-S176+S24</f>
        <v>0</v>
      </c>
      <c r="T185" s="111">
        <f>T13+T30-T178-T176+T20+T183+T11+T12</f>
        <v>310382.12</v>
      </c>
      <c r="U185" s="111"/>
      <c r="V185" s="111"/>
      <c r="W185" s="111"/>
      <c r="X185" s="111"/>
      <c r="Y185" s="111"/>
      <c r="Z185" s="111"/>
      <c r="AA185" s="111"/>
      <c r="AB185" s="111"/>
      <c r="AC185" s="94"/>
      <c r="AD185" s="153"/>
      <c r="AE185" s="153"/>
    </row>
    <row r="186" spans="1:31" s="102" customFormat="1" x14ac:dyDescent="0.25">
      <c r="A186" s="94"/>
      <c r="B186" s="112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111"/>
      <c r="N186" s="111"/>
      <c r="O186" s="111"/>
      <c r="P186" s="111" t="s">
        <v>172</v>
      </c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94"/>
      <c r="AD186" s="153"/>
      <c r="AE186" s="153"/>
    </row>
    <row r="187" spans="1:31" s="102" customFormat="1" hidden="1" x14ac:dyDescent="0.25">
      <c r="A187" s="94"/>
      <c r="B187" s="112"/>
      <c r="C187" s="94"/>
      <c r="D187" s="94"/>
      <c r="E187" s="110"/>
      <c r="F187" s="110"/>
      <c r="G187" s="95"/>
      <c r="H187" s="95">
        <f>H179-H18</f>
        <v>0</v>
      </c>
      <c r="I187" s="95"/>
      <c r="J187" s="95"/>
      <c r="K187" s="95">
        <f>K26-K180</f>
        <v>0</v>
      </c>
      <c r="L187" s="95">
        <f>L20-L148+L183</f>
        <v>0</v>
      </c>
      <c r="M187" s="95">
        <f>M16+M20+M24-M178+M183</f>
        <v>-171916.3200000003</v>
      </c>
      <c r="N187" s="111"/>
      <c r="O187" s="111">
        <f>O18-O179</f>
        <v>-1.4400016516447067E-3</v>
      </c>
      <c r="P187" s="111"/>
      <c r="Q187" s="111"/>
      <c r="R187" s="111"/>
      <c r="S187" s="111"/>
      <c r="T187" s="111">
        <f>T20-T178+T183+T13</f>
        <v>-56573.06</v>
      </c>
      <c r="U187" s="111">
        <f>U27+U18+U22+U25-U179</f>
        <v>-458835.03144000284</v>
      </c>
      <c r="V187" s="111"/>
      <c r="W187" s="111"/>
      <c r="X187" s="111"/>
      <c r="Y187" s="111"/>
      <c r="Z187" s="111"/>
      <c r="AA187" s="111"/>
      <c r="AB187" s="111"/>
      <c r="AC187" s="111"/>
      <c r="AD187" s="153"/>
      <c r="AE187" s="153"/>
    </row>
    <row r="188" spans="1:31" s="102" customFormat="1" hidden="1" x14ac:dyDescent="0.25">
      <c r="A188" s="94"/>
      <c r="B188" s="112"/>
      <c r="C188" s="94"/>
      <c r="D188" s="94"/>
      <c r="E188" s="111"/>
      <c r="F188" s="110"/>
      <c r="G188" s="113"/>
      <c r="H188" s="95"/>
      <c r="I188" s="95"/>
      <c r="J188" s="95"/>
      <c r="K188" s="95"/>
      <c r="L188" s="95"/>
      <c r="M188" s="110">
        <f>183473.85+369804.59-70980</f>
        <v>482298.44000000006</v>
      </c>
      <c r="N188" s="95"/>
      <c r="O188" s="95"/>
      <c r="P188" s="94"/>
      <c r="Q188" s="94"/>
      <c r="R188" s="94"/>
      <c r="S188" s="94"/>
      <c r="T188" s="94"/>
      <c r="U188" s="111"/>
      <c r="V188" s="110"/>
      <c r="W188" s="94"/>
      <c r="X188" s="94"/>
      <c r="Y188" s="94"/>
      <c r="Z188" s="94"/>
      <c r="AA188" s="94"/>
      <c r="AB188" s="94"/>
      <c r="AC188" s="94"/>
      <c r="AD188" s="153"/>
      <c r="AE188" s="153"/>
    </row>
    <row r="189" spans="1:31" s="102" customFormat="1" hidden="1" x14ac:dyDescent="0.25">
      <c r="A189" s="94"/>
      <c r="B189" s="94"/>
      <c r="C189" s="94"/>
      <c r="D189" s="94"/>
      <c r="E189" s="110"/>
      <c r="F189" s="110"/>
      <c r="G189" s="94"/>
      <c r="H189" s="95">
        <f>H178-H16</f>
        <v>1.6399999149143696E-3</v>
      </c>
      <c r="I189" s="94"/>
      <c r="J189" s="94"/>
      <c r="K189" s="95"/>
      <c r="L189" s="94"/>
      <c r="M189" s="111"/>
      <c r="N189" s="111"/>
      <c r="O189" s="95"/>
      <c r="P189" s="94"/>
      <c r="Q189" s="94"/>
      <c r="R189" s="94"/>
      <c r="S189" s="94"/>
      <c r="T189" s="94"/>
      <c r="U189" s="111">
        <f>U34+U47</f>
        <v>72937.2</v>
      </c>
      <c r="V189" s="110"/>
      <c r="W189" s="94"/>
      <c r="X189" s="94"/>
      <c r="Y189" s="94"/>
      <c r="Z189" s="94"/>
      <c r="AA189" s="94"/>
      <c r="AB189" s="94"/>
      <c r="AC189" s="94"/>
      <c r="AD189" s="153"/>
      <c r="AE189" s="153"/>
    </row>
    <row r="190" spans="1:31" s="102" customFormat="1" hidden="1" x14ac:dyDescent="0.25">
      <c r="A190" s="94"/>
      <c r="B190" s="94"/>
      <c r="C190" s="94"/>
      <c r="D190" s="94"/>
      <c r="E190" s="110"/>
      <c r="F190" s="110"/>
      <c r="G190" s="95"/>
      <c r="H190" s="95"/>
      <c r="I190" s="94"/>
      <c r="J190" s="94"/>
      <c r="K190" s="95"/>
      <c r="L190" s="95"/>
      <c r="M190" s="111">
        <f>M18+M22+M25+M27-M179</f>
        <v>-458835.03144000191</v>
      </c>
      <c r="N190" s="111"/>
      <c r="O190" s="95"/>
      <c r="P190" s="94"/>
      <c r="Q190" s="94"/>
      <c r="R190" s="94"/>
      <c r="S190" s="94"/>
      <c r="T190" s="94"/>
      <c r="U190" s="111"/>
      <c r="V190" s="110"/>
      <c r="W190" s="94"/>
      <c r="X190" s="94"/>
      <c r="Y190" s="94"/>
      <c r="Z190" s="94"/>
      <c r="AA190" s="94"/>
      <c r="AB190" s="94"/>
      <c r="AC190" s="94"/>
      <c r="AD190" s="153"/>
      <c r="AE190" s="153"/>
    </row>
    <row r="191" spans="1:31" s="102" customFormat="1" hidden="1" x14ac:dyDescent="0.25">
      <c r="A191" s="94"/>
      <c r="B191" s="94"/>
      <c r="C191" s="94"/>
      <c r="D191" s="94"/>
      <c r="E191" s="110"/>
      <c r="F191" s="110"/>
      <c r="G191" s="95"/>
      <c r="H191" s="94"/>
      <c r="I191" s="94"/>
      <c r="J191" s="94"/>
      <c r="K191" s="94"/>
      <c r="L191" s="94"/>
      <c r="M191" s="110"/>
      <c r="N191" s="111"/>
      <c r="O191" s="95"/>
      <c r="P191" s="94"/>
      <c r="Q191" s="94"/>
      <c r="R191" s="94"/>
      <c r="S191" s="94"/>
      <c r="T191" s="94"/>
      <c r="U191" s="111">
        <f>U181-U19-U21</f>
        <v>33348</v>
      </c>
      <c r="V191" s="110"/>
      <c r="W191" s="94"/>
      <c r="X191" s="94"/>
      <c r="Y191" s="94"/>
      <c r="Z191" s="94"/>
      <c r="AA191" s="94"/>
      <c r="AB191" s="95"/>
      <c r="AC191" s="94"/>
      <c r="AD191" s="153"/>
      <c r="AE191" s="153"/>
    </row>
    <row r="192" spans="1:31" s="102" customFormat="1" hidden="1" x14ac:dyDescent="0.25">
      <c r="A192" s="94"/>
      <c r="B192" s="94"/>
      <c r="C192" s="94"/>
      <c r="D192" s="94"/>
      <c r="E192" s="110"/>
      <c r="F192" s="110"/>
      <c r="G192" s="94"/>
      <c r="H192" s="94"/>
      <c r="I192" s="94"/>
      <c r="J192" s="94"/>
      <c r="K192" s="94"/>
      <c r="L192" s="94"/>
      <c r="M192" s="111"/>
      <c r="N192" s="111"/>
      <c r="O192" s="94"/>
      <c r="P192" s="94"/>
      <c r="Q192" s="94"/>
      <c r="R192" s="94"/>
      <c r="S192" s="94"/>
      <c r="T192" s="94"/>
      <c r="U192" s="111"/>
      <c r="V192" s="110"/>
      <c r="W192" s="94"/>
      <c r="X192" s="94"/>
      <c r="Y192" s="94"/>
      <c r="Z192" s="94"/>
      <c r="AA192" s="94"/>
      <c r="AB192" s="94"/>
      <c r="AC192" s="94"/>
      <c r="AD192" s="153"/>
      <c r="AE192" s="153"/>
    </row>
    <row r="193" spans="1:31" s="102" customFormat="1" hidden="1" x14ac:dyDescent="0.25">
      <c r="A193" s="94"/>
      <c r="B193" s="94"/>
      <c r="C193" s="94"/>
      <c r="D193" s="94"/>
      <c r="E193" s="110"/>
      <c r="F193" s="110"/>
      <c r="G193" s="94"/>
      <c r="H193" s="94"/>
      <c r="I193" s="94"/>
      <c r="J193" s="94"/>
      <c r="K193" s="94"/>
      <c r="L193" s="94"/>
      <c r="M193" s="111">
        <f>151302.32+M190</f>
        <v>-307532.71144000191</v>
      </c>
      <c r="N193" s="110"/>
      <c r="O193" s="94"/>
      <c r="P193" s="95"/>
      <c r="Q193" s="94"/>
      <c r="R193" s="94"/>
      <c r="S193" s="94"/>
      <c r="T193" s="94"/>
      <c r="U193" s="110"/>
      <c r="V193" s="110"/>
      <c r="W193" s="94"/>
      <c r="X193" s="94"/>
      <c r="Y193" s="94"/>
      <c r="Z193" s="94"/>
      <c r="AA193" s="94"/>
      <c r="AB193" s="94"/>
      <c r="AC193" s="94"/>
      <c r="AD193" s="153"/>
      <c r="AE193" s="153"/>
    </row>
    <row r="194" spans="1:31" s="102" customFormat="1" x14ac:dyDescent="0.25">
      <c r="A194" s="94"/>
      <c r="B194" s="94"/>
      <c r="C194" s="94"/>
      <c r="D194" s="94"/>
      <c r="E194" s="111"/>
      <c r="F194" s="110"/>
      <c r="G194" s="94"/>
      <c r="H194" s="94"/>
      <c r="I194" s="94"/>
      <c r="J194" s="94"/>
      <c r="K194" s="94"/>
      <c r="L194" s="94"/>
      <c r="M194" s="111">
        <f>M13+M19-M181</f>
        <v>0</v>
      </c>
      <c r="N194" s="111">
        <f t="shared" ref="N194:T194" si="203">N13+N19-N181</f>
        <v>0</v>
      </c>
      <c r="O194" s="111">
        <f t="shared" si="203"/>
        <v>0</v>
      </c>
      <c r="P194" s="111">
        <f t="shared" si="203"/>
        <v>0</v>
      </c>
      <c r="Q194" s="111">
        <f t="shared" si="203"/>
        <v>0</v>
      </c>
      <c r="R194" s="111">
        <f t="shared" si="203"/>
        <v>0</v>
      </c>
      <c r="S194" s="111">
        <f t="shared" si="203"/>
        <v>0</v>
      </c>
      <c r="T194" s="111">
        <f t="shared" si="203"/>
        <v>0</v>
      </c>
      <c r="U194" s="110"/>
      <c r="V194" s="110"/>
      <c r="W194" s="94"/>
      <c r="X194" s="94"/>
      <c r="Y194" s="94"/>
      <c r="Z194" s="94"/>
      <c r="AA194" s="94"/>
      <c r="AB194" s="94"/>
      <c r="AC194" s="94"/>
      <c r="AD194" s="153"/>
      <c r="AE194" s="153"/>
    </row>
    <row r="195" spans="1:31" x14ac:dyDescent="0.25">
      <c r="A195" s="19"/>
      <c r="B195" s="19"/>
      <c r="C195" s="19"/>
      <c r="D195" s="19"/>
      <c r="E195" s="114"/>
      <c r="F195" s="114"/>
      <c r="G195" s="19"/>
      <c r="H195" s="19"/>
      <c r="I195" s="19"/>
      <c r="J195" s="19"/>
      <c r="K195" s="19"/>
      <c r="L195" s="19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94"/>
    </row>
    <row r="196" spans="1:31" x14ac:dyDescent="0.25">
      <c r="M196" s="111"/>
      <c r="N196" s="48"/>
      <c r="O196" s="19"/>
      <c r="P196" s="19"/>
      <c r="Q196" s="19"/>
    </row>
    <row r="197" spans="1:31" x14ac:dyDescent="0.25">
      <c r="M197" s="111"/>
      <c r="T197" s="131"/>
    </row>
    <row r="199" spans="1:31" x14ac:dyDescent="0.25">
      <c r="G199" s="131">
        <f>6872490-G178</f>
        <v>6872490</v>
      </c>
    </row>
  </sheetData>
  <autoFilter ref="A7:L18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9">
    <mergeCell ref="AC24:AC25"/>
    <mergeCell ref="Z1:AB1"/>
    <mergeCell ref="Z2:AB2"/>
    <mergeCell ref="M7:T7"/>
    <mergeCell ref="U7:AB7"/>
    <mergeCell ref="AC7:AC10"/>
    <mergeCell ref="M8:M10"/>
    <mergeCell ref="N8:T8"/>
    <mergeCell ref="U8:U10"/>
    <mergeCell ref="V8:AB8"/>
    <mergeCell ref="N9:P9"/>
    <mergeCell ref="Q9:S9"/>
    <mergeCell ref="T9:T10"/>
    <mergeCell ref="V9:X9"/>
    <mergeCell ref="Y9:AA9"/>
    <mergeCell ref="AB9:AB10"/>
    <mergeCell ref="A3:L3"/>
    <mergeCell ref="A4:L4"/>
    <mergeCell ref="D5:L5"/>
    <mergeCell ref="A7:A10"/>
    <mergeCell ref="B7:B10"/>
    <mergeCell ref="C7:C10"/>
    <mergeCell ref="D7:D10"/>
    <mergeCell ref="E7:L7"/>
    <mergeCell ref="E8:E10"/>
    <mergeCell ref="F8:L8"/>
    <mergeCell ref="F9:H9"/>
    <mergeCell ref="I9:K9"/>
    <mergeCell ref="L9:L10"/>
  </mergeCells>
  <pageMargins left="0.78740157480314965" right="0.78740157480314965" top="1.1811023622047245" bottom="0.3937007874015748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0"/>
  <sheetViews>
    <sheetView zoomScaleNormal="100" workbookViewId="0">
      <selection activeCell="H137" sqref="H137"/>
    </sheetView>
  </sheetViews>
  <sheetFormatPr defaultColWidth="9.140625" defaultRowHeight="15.75" x14ac:dyDescent="0.25"/>
  <cols>
    <col min="1" max="1" width="33" style="2" customWidth="1"/>
    <col min="2" max="2" width="9" style="2" customWidth="1"/>
    <col min="3" max="3" width="9.42578125" style="2" customWidth="1"/>
    <col min="4" max="4" width="9.28515625" style="2" customWidth="1"/>
    <col min="5" max="6" width="14.5703125" style="4" customWidth="1"/>
    <col min="7" max="7" width="14.5703125" style="2" customWidth="1"/>
    <col min="8" max="8" width="16" style="2" customWidth="1"/>
    <col min="9" max="9" width="14.5703125" style="15" customWidth="1"/>
    <col min="10" max="10" width="13.140625" style="2" customWidth="1"/>
    <col min="11" max="11" width="13.42578125" style="2" customWidth="1"/>
    <col min="12" max="12" width="16.28515625" style="2" customWidth="1"/>
    <col min="13" max="13" width="16.28515625" style="4" customWidth="1"/>
    <col min="14" max="14" width="14.5703125" style="2" customWidth="1"/>
    <col min="15" max="15" width="11.28515625" style="2" customWidth="1"/>
    <col min="16" max="16" width="18.5703125" style="2" customWidth="1"/>
    <col min="17" max="17" width="11.5703125" style="2" customWidth="1"/>
    <col min="18" max="18" width="11.28515625" style="2" customWidth="1"/>
    <col min="19" max="19" width="18.5703125" style="2" customWidth="1"/>
    <col min="20" max="20" width="18.5703125" style="4" customWidth="1"/>
    <col min="21" max="21" width="13.5703125" style="2" customWidth="1"/>
    <col min="22" max="22" width="15.7109375" style="2" customWidth="1"/>
    <col min="23" max="23" width="11.28515625" style="15" customWidth="1"/>
    <col min="24" max="24" width="9.140625" style="2"/>
    <col min="25" max="25" width="12.7109375" style="2" customWidth="1"/>
    <col min="26" max="26" width="16.140625" style="2" customWidth="1"/>
    <col min="27" max="27" width="17.42578125" style="2" customWidth="1"/>
    <col min="28" max="16384" width="9.140625" style="1"/>
  </cols>
  <sheetData>
    <row r="1" spans="1:27" ht="51.75" customHeight="1" x14ac:dyDescent="0.25">
      <c r="X1" s="185" t="s">
        <v>19</v>
      </c>
      <c r="Y1" s="186"/>
      <c r="Z1" s="186"/>
    </row>
    <row r="2" spans="1:27" ht="31.9" customHeight="1" x14ac:dyDescent="0.25">
      <c r="X2" s="186" t="s">
        <v>10</v>
      </c>
      <c r="Y2" s="186"/>
      <c r="Z2" s="186"/>
    </row>
    <row r="3" spans="1:27" s="50" customFormat="1" ht="24.75" customHeight="1" x14ac:dyDescent="0.25">
      <c r="A3" s="187" t="s">
        <v>20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48"/>
      <c r="X3" s="49"/>
      <c r="Y3" s="49"/>
      <c r="Z3" s="49"/>
      <c r="AA3" s="49"/>
    </row>
    <row r="4" spans="1:27" s="50" customFormat="1" ht="25.5" customHeight="1" x14ac:dyDescent="0.25">
      <c r="A4" s="187" t="s">
        <v>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48"/>
      <c r="X4" s="49"/>
      <c r="Y4" s="49"/>
      <c r="Z4" s="49"/>
      <c r="AA4" s="49"/>
    </row>
    <row r="5" spans="1:27" s="38" customFormat="1" x14ac:dyDescent="0.25">
      <c r="A5" s="42" t="s">
        <v>124</v>
      </c>
      <c r="B5" s="42"/>
      <c r="C5" s="42"/>
      <c r="D5" s="188" t="s">
        <v>120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51"/>
      <c r="Q5" s="51"/>
      <c r="R5" s="51"/>
      <c r="S5" s="51"/>
      <c r="T5" s="52"/>
      <c r="U5" s="51"/>
      <c r="V5" s="51"/>
      <c r="W5" s="53"/>
      <c r="X5" s="42"/>
      <c r="Y5" s="42"/>
      <c r="Z5" s="42"/>
      <c r="AA5" s="42"/>
    </row>
    <row r="6" spans="1:27" s="38" customFormat="1" ht="16.5" thickBot="1" x14ac:dyDescent="0.3">
      <c r="A6" s="42"/>
      <c r="B6" s="42"/>
      <c r="C6" s="42"/>
      <c r="D6" s="42"/>
      <c r="E6" s="49"/>
      <c r="F6" s="49"/>
      <c r="G6" s="42"/>
      <c r="H6" s="42"/>
      <c r="I6" s="53"/>
      <c r="J6" s="42"/>
      <c r="K6" s="42"/>
      <c r="L6" s="42"/>
      <c r="M6" s="49"/>
      <c r="N6" s="42"/>
      <c r="O6" s="42"/>
      <c r="P6" s="42"/>
      <c r="Q6" s="42"/>
      <c r="R6" s="42"/>
      <c r="S6" s="42"/>
      <c r="T6" s="49"/>
      <c r="U6" s="42"/>
      <c r="V6" s="42"/>
      <c r="W6" s="53"/>
      <c r="X6" s="42"/>
      <c r="Y6" s="42"/>
      <c r="Z6" s="42"/>
      <c r="AA6" s="42"/>
    </row>
    <row r="7" spans="1:27" s="50" customFormat="1" ht="37.5" customHeight="1" x14ac:dyDescent="0.25">
      <c r="A7" s="190" t="s">
        <v>18</v>
      </c>
      <c r="B7" s="193" t="s">
        <v>15</v>
      </c>
      <c r="C7" s="170" t="s">
        <v>11</v>
      </c>
      <c r="D7" s="171" t="s">
        <v>12</v>
      </c>
      <c r="E7" s="196" t="s">
        <v>14</v>
      </c>
      <c r="F7" s="197"/>
      <c r="G7" s="197"/>
      <c r="H7" s="197"/>
      <c r="I7" s="197"/>
      <c r="J7" s="197"/>
      <c r="K7" s="197"/>
      <c r="L7" s="198"/>
      <c r="M7" s="182" t="s">
        <v>7</v>
      </c>
      <c r="N7" s="182"/>
      <c r="O7" s="182"/>
      <c r="P7" s="182"/>
      <c r="Q7" s="182"/>
      <c r="R7" s="182"/>
      <c r="S7" s="183"/>
      <c r="T7" s="184" t="s">
        <v>8</v>
      </c>
      <c r="U7" s="182"/>
      <c r="V7" s="182"/>
      <c r="W7" s="182"/>
      <c r="X7" s="182"/>
      <c r="Y7" s="182"/>
      <c r="Z7" s="182"/>
      <c r="AA7" s="168" t="s">
        <v>125</v>
      </c>
    </row>
    <row r="8" spans="1:27" s="42" customFormat="1" ht="39.75" customHeight="1" x14ac:dyDescent="0.25">
      <c r="A8" s="191"/>
      <c r="B8" s="194"/>
      <c r="C8" s="170"/>
      <c r="D8" s="171"/>
      <c r="E8" s="178" t="s">
        <v>13</v>
      </c>
      <c r="F8" s="199" t="s">
        <v>0</v>
      </c>
      <c r="G8" s="200"/>
      <c r="H8" s="200"/>
      <c r="I8" s="200"/>
      <c r="J8" s="200"/>
      <c r="K8" s="200"/>
      <c r="L8" s="201"/>
      <c r="M8" s="174" t="s">
        <v>13</v>
      </c>
      <c r="N8" s="170" t="s">
        <v>0</v>
      </c>
      <c r="O8" s="170"/>
      <c r="P8" s="170"/>
      <c r="Q8" s="170"/>
      <c r="R8" s="170"/>
      <c r="S8" s="177"/>
      <c r="T8" s="178" t="s">
        <v>13</v>
      </c>
      <c r="U8" s="170" t="s">
        <v>0</v>
      </c>
      <c r="V8" s="170"/>
      <c r="W8" s="170"/>
      <c r="X8" s="170"/>
      <c r="Y8" s="170"/>
      <c r="Z8" s="171"/>
      <c r="AA8" s="169"/>
    </row>
    <row r="9" spans="1:27" s="42" customFormat="1" ht="39.75" customHeight="1" x14ac:dyDescent="0.25">
      <c r="A9" s="191"/>
      <c r="B9" s="194"/>
      <c r="C9" s="170"/>
      <c r="D9" s="171"/>
      <c r="E9" s="179"/>
      <c r="F9" s="173" t="s">
        <v>1</v>
      </c>
      <c r="G9" s="202"/>
      <c r="H9" s="203"/>
      <c r="I9" s="172" t="s">
        <v>2</v>
      </c>
      <c r="J9" s="172"/>
      <c r="K9" s="172"/>
      <c r="L9" s="181" t="s">
        <v>3</v>
      </c>
      <c r="M9" s="175"/>
      <c r="N9" s="172" t="s">
        <v>1</v>
      </c>
      <c r="O9" s="172"/>
      <c r="P9" s="172" t="s">
        <v>2</v>
      </c>
      <c r="Q9" s="172"/>
      <c r="R9" s="172"/>
      <c r="S9" s="181" t="s">
        <v>3</v>
      </c>
      <c r="T9" s="179"/>
      <c r="U9" s="172" t="s">
        <v>1</v>
      </c>
      <c r="V9" s="172"/>
      <c r="W9" s="172" t="s">
        <v>2</v>
      </c>
      <c r="X9" s="172"/>
      <c r="Y9" s="172"/>
      <c r="Z9" s="173" t="s">
        <v>3</v>
      </c>
      <c r="AA9" s="169"/>
    </row>
    <row r="10" spans="1:27" s="42" customFormat="1" ht="72" customHeight="1" x14ac:dyDescent="0.25">
      <c r="A10" s="192"/>
      <c r="B10" s="195"/>
      <c r="C10" s="170"/>
      <c r="D10" s="171"/>
      <c r="E10" s="180"/>
      <c r="F10" s="3" t="s">
        <v>53</v>
      </c>
      <c r="G10" s="3" t="s">
        <v>4</v>
      </c>
      <c r="H10" s="3" t="s">
        <v>5</v>
      </c>
      <c r="I10" s="16" t="s">
        <v>6</v>
      </c>
      <c r="J10" s="47" t="s">
        <v>4</v>
      </c>
      <c r="K10" s="47" t="s">
        <v>5</v>
      </c>
      <c r="L10" s="181"/>
      <c r="M10" s="176"/>
      <c r="N10" s="47" t="s">
        <v>4</v>
      </c>
      <c r="O10" s="47" t="s">
        <v>5</v>
      </c>
      <c r="P10" s="47" t="s">
        <v>6</v>
      </c>
      <c r="Q10" s="47" t="s">
        <v>4</v>
      </c>
      <c r="R10" s="47" t="s">
        <v>5</v>
      </c>
      <c r="S10" s="181"/>
      <c r="T10" s="180"/>
      <c r="U10" s="47" t="s">
        <v>4</v>
      </c>
      <c r="V10" s="47" t="s">
        <v>5</v>
      </c>
      <c r="W10" s="16" t="s">
        <v>6</v>
      </c>
      <c r="X10" s="47" t="s">
        <v>4</v>
      </c>
      <c r="Y10" s="47" t="s">
        <v>5</v>
      </c>
      <c r="Z10" s="173"/>
      <c r="AA10" s="169"/>
    </row>
    <row r="11" spans="1:27" s="38" customFormat="1" ht="63.75" x14ac:dyDescent="0.25">
      <c r="A11" s="21" t="s">
        <v>21</v>
      </c>
      <c r="B11" s="22"/>
      <c r="C11" s="23"/>
      <c r="D11" s="24">
        <v>131</v>
      </c>
      <c r="E11" s="54">
        <f>SUM(G11+H11+J11+K11+L11)+F11</f>
        <v>6631255.3700000001</v>
      </c>
      <c r="F11" s="55"/>
      <c r="G11" s="34"/>
      <c r="H11" s="34">
        <v>6631255.3700000001</v>
      </c>
      <c r="I11" s="56"/>
      <c r="J11" s="34"/>
      <c r="K11" s="34"/>
      <c r="L11" s="57"/>
      <c r="M11" s="58"/>
      <c r="N11" s="34"/>
      <c r="O11" s="34"/>
      <c r="P11" s="34"/>
      <c r="Q11" s="34"/>
      <c r="R11" s="34"/>
      <c r="S11" s="57"/>
      <c r="T11" s="54">
        <f t="shared" ref="T11:T12" si="0">E11</f>
        <v>6631255.3700000001</v>
      </c>
      <c r="U11" s="54">
        <f>G11</f>
        <v>0</v>
      </c>
      <c r="V11" s="33">
        <f>H11</f>
        <v>6631255.3700000001</v>
      </c>
      <c r="W11" s="59">
        <f>I11</f>
        <v>0</v>
      </c>
      <c r="X11" s="33">
        <f>J11</f>
        <v>0</v>
      </c>
      <c r="Y11" s="33">
        <f>K11</f>
        <v>0</v>
      </c>
      <c r="Z11" s="24"/>
      <c r="AA11" s="37"/>
    </row>
    <row r="12" spans="1:27" s="38" customFormat="1" ht="0.75" customHeight="1" x14ac:dyDescent="0.25">
      <c r="A12" s="23" t="s">
        <v>22</v>
      </c>
      <c r="B12" s="22"/>
      <c r="C12" s="23"/>
      <c r="D12" s="24">
        <v>131</v>
      </c>
      <c r="E12" s="54">
        <f t="shared" ref="E12:E22" si="1">SUM(G12+H12+J12+K12+L12)</f>
        <v>0</v>
      </c>
      <c r="F12" s="58"/>
      <c r="G12" s="34"/>
      <c r="H12" s="34"/>
      <c r="I12" s="56"/>
      <c r="J12" s="34"/>
      <c r="K12" s="34"/>
      <c r="L12" s="57"/>
      <c r="M12" s="58"/>
      <c r="N12" s="34"/>
      <c r="O12" s="34"/>
      <c r="P12" s="34"/>
      <c r="Q12" s="34"/>
      <c r="R12" s="34"/>
      <c r="S12" s="57"/>
      <c r="T12" s="54">
        <f t="shared" si="0"/>
        <v>0</v>
      </c>
      <c r="U12" s="34"/>
      <c r="V12" s="34"/>
      <c r="W12" s="56"/>
      <c r="X12" s="34"/>
      <c r="Y12" s="34"/>
      <c r="Z12" s="36"/>
      <c r="AA12" s="37"/>
    </row>
    <row r="13" spans="1:27" s="38" customFormat="1" ht="24.75" customHeight="1" x14ac:dyDescent="0.25">
      <c r="A13" s="23"/>
      <c r="B13" s="22" t="s">
        <v>56</v>
      </c>
      <c r="C13" s="23"/>
      <c r="D13" s="24">
        <v>131</v>
      </c>
      <c r="E13" s="33">
        <f>F13+G13+H13</f>
        <v>4231700</v>
      </c>
      <c r="F13" s="55"/>
      <c r="G13" s="34"/>
      <c r="H13" s="34">
        <v>4231700</v>
      </c>
      <c r="I13" s="56"/>
      <c r="J13" s="34"/>
      <c r="K13" s="34"/>
      <c r="L13" s="57"/>
      <c r="M13" s="58"/>
      <c r="N13" s="34"/>
      <c r="O13" s="34"/>
      <c r="P13" s="34"/>
      <c r="Q13" s="34"/>
      <c r="R13" s="34"/>
      <c r="S13" s="57"/>
      <c r="T13" s="33">
        <f>E13</f>
        <v>4231700</v>
      </c>
      <c r="U13" s="34"/>
      <c r="V13" s="34">
        <f>H13</f>
        <v>4231700</v>
      </c>
      <c r="W13" s="56"/>
      <c r="X13" s="34"/>
      <c r="Y13" s="34"/>
      <c r="Z13" s="36"/>
      <c r="AA13" s="37"/>
    </row>
    <row r="14" spans="1:27" s="38" customFormat="1" ht="21.75" customHeight="1" x14ac:dyDescent="0.25">
      <c r="A14" s="23"/>
      <c r="B14" s="22" t="s">
        <v>57</v>
      </c>
      <c r="C14" s="23"/>
      <c r="D14" s="24">
        <v>131</v>
      </c>
      <c r="E14" s="33">
        <f t="shared" ref="E14:E16" si="2">F14+G14+H14</f>
        <v>0</v>
      </c>
      <c r="F14" s="58"/>
      <c r="G14" s="34"/>
      <c r="H14" s="34"/>
      <c r="I14" s="56"/>
      <c r="J14" s="34"/>
      <c r="K14" s="34"/>
      <c r="L14" s="57"/>
      <c r="M14" s="58"/>
      <c r="N14" s="34"/>
      <c r="O14" s="34"/>
      <c r="P14" s="34"/>
      <c r="Q14" s="34"/>
      <c r="R14" s="34"/>
      <c r="S14" s="57"/>
      <c r="T14" s="33">
        <f t="shared" ref="T14:T77" si="3">E14</f>
        <v>0</v>
      </c>
      <c r="U14" s="34"/>
      <c r="V14" s="34">
        <f t="shared" ref="V14:V77" si="4">H14</f>
        <v>0</v>
      </c>
      <c r="W14" s="56"/>
      <c r="X14" s="34"/>
      <c r="Y14" s="34"/>
      <c r="Z14" s="36"/>
      <c r="AA14" s="37"/>
    </row>
    <row r="15" spans="1:27" s="38" customFormat="1" ht="21.75" customHeight="1" x14ac:dyDescent="0.25">
      <c r="A15" s="23"/>
      <c r="B15" s="22" t="s">
        <v>58</v>
      </c>
      <c r="C15" s="23"/>
      <c r="D15" s="24">
        <v>131</v>
      </c>
      <c r="E15" s="33">
        <f t="shared" si="2"/>
        <v>2172150</v>
      </c>
      <c r="F15" s="55"/>
      <c r="G15" s="34"/>
      <c r="H15" s="34">
        <f>2172150</f>
        <v>2172150</v>
      </c>
      <c r="I15" s="56"/>
      <c r="J15" s="34"/>
      <c r="K15" s="34"/>
      <c r="L15" s="57"/>
      <c r="M15" s="58"/>
      <c r="N15" s="34"/>
      <c r="O15" s="34"/>
      <c r="P15" s="34"/>
      <c r="Q15" s="34"/>
      <c r="R15" s="34"/>
      <c r="S15" s="57"/>
      <c r="T15" s="33">
        <f t="shared" si="3"/>
        <v>2172150</v>
      </c>
      <c r="U15" s="34"/>
      <c r="V15" s="34">
        <f t="shared" si="4"/>
        <v>2172150</v>
      </c>
      <c r="W15" s="56"/>
      <c r="X15" s="34"/>
      <c r="Y15" s="34"/>
      <c r="Z15" s="36"/>
      <c r="AA15" s="37"/>
    </row>
    <row r="16" spans="1:27" s="38" customFormat="1" ht="18.75" customHeight="1" x14ac:dyDescent="0.25">
      <c r="A16" s="23"/>
      <c r="B16" s="22" t="s">
        <v>59</v>
      </c>
      <c r="C16" s="23"/>
      <c r="D16" s="24">
        <v>131</v>
      </c>
      <c r="E16" s="33">
        <f t="shared" si="2"/>
        <v>227405.37000000011</v>
      </c>
      <c r="F16" s="55"/>
      <c r="G16" s="60"/>
      <c r="H16" s="34">
        <f>H11-H13-H15</f>
        <v>227405.37000000011</v>
      </c>
      <c r="I16" s="56"/>
      <c r="J16" s="34"/>
      <c r="K16" s="34"/>
      <c r="L16" s="57"/>
      <c r="M16" s="58"/>
      <c r="N16" s="34"/>
      <c r="O16" s="34"/>
      <c r="P16" s="34"/>
      <c r="Q16" s="34"/>
      <c r="R16" s="34"/>
      <c r="S16" s="57"/>
      <c r="T16" s="33">
        <f t="shared" si="3"/>
        <v>227405.37000000011</v>
      </c>
      <c r="U16" s="34"/>
      <c r="V16" s="34">
        <f t="shared" si="4"/>
        <v>227405.37000000011</v>
      </c>
      <c r="W16" s="56"/>
      <c r="X16" s="34"/>
      <c r="Y16" s="34"/>
      <c r="Z16" s="36"/>
      <c r="AA16" s="37"/>
    </row>
    <row r="17" spans="1:27" s="38" customFormat="1" x14ac:dyDescent="0.25">
      <c r="A17" s="21" t="s">
        <v>54</v>
      </c>
      <c r="B17" s="22" t="s">
        <v>56</v>
      </c>
      <c r="C17" s="23"/>
      <c r="D17" s="24">
        <v>131</v>
      </c>
      <c r="E17" s="33">
        <f t="shared" ref="E17:E18" si="5">SUM(G17+H17+J17+K17+L17)</f>
        <v>784900</v>
      </c>
      <c r="F17" s="58"/>
      <c r="G17" s="34"/>
      <c r="H17" s="34"/>
      <c r="I17" s="56"/>
      <c r="J17" s="34"/>
      <c r="K17" s="34"/>
      <c r="L17" s="57">
        <f>784900</f>
        <v>784900</v>
      </c>
      <c r="M17" s="58"/>
      <c r="N17" s="34"/>
      <c r="O17" s="34"/>
      <c r="P17" s="34"/>
      <c r="Q17" s="34"/>
      <c r="R17" s="34"/>
      <c r="S17" s="57"/>
      <c r="T17" s="33">
        <f t="shared" si="3"/>
        <v>784900</v>
      </c>
      <c r="U17" s="34"/>
      <c r="V17" s="34">
        <f t="shared" si="4"/>
        <v>0</v>
      </c>
      <c r="W17" s="56"/>
      <c r="X17" s="34"/>
      <c r="Y17" s="34"/>
      <c r="Z17" s="36">
        <f>L17</f>
        <v>784900</v>
      </c>
      <c r="AA17" s="37"/>
    </row>
    <row r="18" spans="1:27" s="38" customFormat="1" x14ac:dyDescent="0.25">
      <c r="A18" s="21" t="s">
        <v>84</v>
      </c>
      <c r="B18" s="22" t="s">
        <v>59</v>
      </c>
      <c r="C18" s="23"/>
      <c r="D18" s="24">
        <v>131</v>
      </c>
      <c r="E18" s="33">
        <f t="shared" si="5"/>
        <v>47200</v>
      </c>
      <c r="F18" s="58"/>
      <c r="G18" s="34"/>
      <c r="H18" s="34"/>
      <c r="I18" s="56"/>
      <c r="J18" s="34"/>
      <c r="K18" s="34"/>
      <c r="L18" s="57">
        <v>47200</v>
      </c>
      <c r="M18" s="58"/>
      <c r="N18" s="34"/>
      <c r="O18" s="34"/>
      <c r="P18" s="34"/>
      <c r="Q18" s="34"/>
      <c r="R18" s="34"/>
      <c r="S18" s="57"/>
      <c r="T18" s="33">
        <f t="shared" si="3"/>
        <v>47200</v>
      </c>
      <c r="U18" s="34"/>
      <c r="V18" s="34">
        <f t="shared" si="4"/>
        <v>0</v>
      </c>
      <c r="W18" s="56"/>
      <c r="X18" s="34"/>
      <c r="Y18" s="34"/>
      <c r="Z18" s="36">
        <f t="shared" ref="Z18:Z85" si="6">L18</f>
        <v>47200</v>
      </c>
      <c r="AA18" s="37"/>
    </row>
    <row r="19" spans="1:27" s="38" customFormat="1" ht="25.5" x14ac:dyDescent="0.25">
      <c r="A19" s="21" t="s">
        <v>55</v>
      </c>
      <c r="B19" s="22" t="s">
        <v>58</v>
      </c>
      <c r="C19" s="23"/>
      <c r="D19" s="24">
        <v>134</v>
      </c>
      <c r="E19" s="33">
        <f t="shared" si="1"/>
        <v>322886.25</v>
      </c>
      <c r="F19" s="58"/>
      <c r="G19" s="34"/>
      <c r="H19" s="34"/>
      <c r="I19" s="56"/>
      <c r="J19" s="34"/>
      <c r="K19" s="34"/>
      <c r="L19" s="57">
        <v>322886.25</v>
      </c>
      <c r="M19" s="58"/>
      <c r="N19" s="34"/>
      <c r="O19" s="34"/>
      <c r="P19" s="34"/>
      <c r="Q19" s="34"/>
      <c r="R19" s="34"/>
      <c r="S19" s="57"/>
      <c r="T19" s="33">
        <f t="shared" si="3"/>
        <v>322886.25</v>
      </c>
      <c r="U19" s="34"/>
      <c r="V19" s="34">
        <f t="shared" si="4"/>
        <v>0</v>
      </c>
      <c r="W19" s="56"/>
      <c r="X19" s="34"/>
      <c r="Y19" s="34"/>
      <c r="Z19" s="36">
        <f t="shared" si="6"/>
        <v>322886.25</v>
      </c>
      <c r="AA19" s="37"/>
    </row>
    <row r="20" spans="1:27" s="38" customFormat="1" ht="42.75" customHeight="1" x14ac:dyDescent="0.25">
      <c r="A20" s="21" t="s">
        <v>60</v>
      </c>
      <c r="B20" s="22" t="s">
        <v>56</v>
      </c>
      <c r="C20" s="23"/>
      <c r="D20" s="24">
        <v>152</v>
      </c>
      <c r="E20" s="33">
        <f>SUM(G20+K20+J20+L20)</f>
        <v>87900</v>
      </c>
      <c r="F20" s="58"/>
      <c r="G20" s="34"/>
      <c r="H20" s="42"/>
      <c r="I20" s="61" t="s">
        <v>121</v>
      </c>
      <c r="J20" s="34"/>
      <c r="K20" s="34">
        <v>87900</v>
      </c>
      <c r="L20" s="57"/>
      <c r="M20" s="58"/>
      <c r="N20" s="34"/>
      <c r="O20" s="34"/>
      <c r="P20" s="34"/>
      <c r="Q20" s="34"/>
      <c r="R20" s="34"/>
      <c r="S20" s="57"/>
      <c r="T20" s="33">
        <f t="shared" si="3"/>
        <v>87900</v>
      </c>
      <c r="U20" s="34"/>
      <c r="V20" s="34">
        <f t="shared" si="4"/>
        <v>0</v>
      </c>
      <c r="W20" s="61"/>
      <c r="X20" s="34"/>
      <c r="Y20" s="34"/>
      <c r="Z20" s="36">
        <f t="shared" si="6"/>
        <v>0</v>
      </c>
      <c r="AA20" s="37"/>
    </row>
    <row r="21" spans="1:27" s="38" customFormat="1" ht="63" customHeight="1" x14ac:dyDescent="0.25">
      <c r="A21" s="21" t="s">
        <v>62</v>
      </c>
      <c r="B21" s="22" t="s">
        <v>58</v>
      </c>
      <c r="C21" s="23"/>
      <c r="D21" s="24">
        <v>152</v>
      </c>
      <c r="E21" s="33">
        <f t="shared" si="1"/>
        <v>78990</v>
      </c>
      <c r="F21" s="58"/>
      <c r="G21" s="34"/>
      <c r="H21" s="34"/>
      <c r="I21" s="61" t="s">
        <v>123</v>
      </c>
      <c r="J21" s="34"/>
      <c r="K21" s="34">
        <v>78990</v>
      </c>
      <c r="L21" s="57"/>
      <c r="M21" s="58"/>
      <c r="N21" s="34"/>
      <c r="O21" s="34"/>
      <c r="P21" s="34"/>
      <c r="Q21" s="34"/>
      <c r="R21" s="34"/>
      <c r="S21" s="36"/>
      <c r="T21" s="33">
        <f t="shared" si="3"/>
        <v>78990</v>
      </c>
      <c r="U21" s="34"/>
      <c r="V21" s="34">
        <f t="shared" si="4"/>
        <v>0</v>
      </c>
      <c r="W21" s="61"/>
      <c r="X21" s="34"/>
      <c r="Y21" s="34"/>
      <c r="Z21" s="36">
        <f t="shared" si="6"/>
        <v>0</v>
      </c>
      <c r="AA21" s="37"/>
    </row>
    <row r="22" spans="1:27" s="38" customFormat="1" ht="24" customHeight="1" x14ac:dyDescent="0.25">
      <c r="A22" s="21" t="s">
        <v>61</v>
      </c>
      <c r="B22" s="22" t="s">
        <v>63</v>
      </c>
      <c r="C22" s="23"/>
      <c r="D22" s="24">
        <v>152</v>
      </c>
      <c r="E22" s="33">
        <f t="shared" si="1"/>
        <v>61372.639999999999</v>
      </c>
      <c r="F22" s="58"/>
      <c r="G22" s="34"/>
      <c r="H22" s="34"/>
      <c r="I22" s="61" t="s">
        <v>122</v>
      </c>
      <c r="J22" s="34"/>
      <c r="K22" s="34">
        <v>61372.639999999999</v>
      </c>
      <c r="L22" s="57"/>
      <c r="M22" s="58"/>
      <c r="N22" s="34"/>
      <c r="O22" s="34"/>
      <c r="P22" s="34"/>
      <c r="Q22" s="34"/>
      <c r="R22" s="34"/>
      <c r="S22" s="36"/>
      <c r="T22" s="33">
        <f t="shared" si="3"/>
        <v>61372.639999999999</v>
      </c>
      <c r="U22" s="34"/>
      <c r="V22" s="34">
        <f t="shared" si="4"/>
        <v>0</v>
      </c>
      <c r="W22" s="61"/>
      <c r="X22" s="34"/>
      <c r="Y22" s="34"/>
      <c r="Z22" s="36">
        <f t="shared" si="6"/>
        <v>0</v>
      </c>
      <c r="AA22" s="37"/>
    </row>
    <row r="23" spans="1:27" s="50" customFormat="1" ht="26.25" customHeight="1" x14ac:dyDescent="0.25">
      <c r="A23" s="62" t="s">
        <v>81</v>
      </c>
      <c r="B23" s="63"/>
      <c r="C23" s="64"/>
      <c r="D23" s="65">
        <v>152</v>
      </c>
      <c r="E23" s="54">
        <f>SUM(E20:E22)</f>
        <v>228262.64</v>
      </c>
      <c r="F23" s="58"/>
      <c r="G23" s="66"/>
      <c r="H23" s="66"/>
      <c r="I23" s="67"/>
      <c r="J23" s="66"/>
      <c r="K23" s="66">
        <f>SUM(K20:K22)</f>
        <v>228262.64</v>
      </c>
      <c r="L23" s="68"/>
      <c r="M23" s="58"/>
      <c r="N23" s="66"/>
      <c r="O23" s="66"/>
      <c r="P23" s="66"/>
      <c r="Q23" s="66"/>
      <c r="R23" s="66"/>
      <c r="S23" s="69"/>
      <c r="T23" s="54">
        <f t="shared" si="3"/>
        <v>228262.64</v>
      </c>
      <c r="U23" s="66"/>
      <c r="V23" s="66">
        <f t="shared" si="4"/>
        <v>0</v>
      </c>
      <c r="W23" s="70"/>
      <c r="X23" s="66"/>
      <c r="Y23" s="66"/>
      <c r="Z23" s="69">
        <f t="shared" si="6"/>
        <v>0</v>
      </c>
      <c r="AA23" s="71"/>
    </row>
    <row r="24" spans="1:27" s="50" customFormat="1" ht="28.5" customHeight="1" x14ac:dyDescent="0.25">
      <c r="A24" s="64" t="s">
        <v>16</v>
      </c>
      <c r="B24" s="64"/>
      <c r="C24" s="64"/>
      <c r="D24" s="65"/>
      <c r="E24" s="54">
        <f>E23+E19+E11+E17+E18</f>
        <v>8014504.2599999998</v>
      </c>
      <c r="F24" s="66">
        <f>SUM(F12:F20)</f>
        <v>0</v>
      </c>
      <c r="G24" s="66">
        <f>SUM(G12:G20)</f>
        <v>0</v>
      </c>
      <c r="H24" s="66">
        <f>SUM(H12:H20)</f>
        <v>6631255.3700000001</v>
      </c>
      <c r="I24" s="70"/>
      <c r="J24" s="66">
        <f>SUM(J11:J20)</f>
        <v>0</v>
      </c>
      <c r="K24" s="66">
        <f>K23</f>
        <v>228262.64</v>
      </c>
      <c r="L24" s="68">
        <f>SUM(L17:L20)</f>
        <v>1154986.25</v>
      </c>
      <c r="M24" s="58"/>
      <c r="N24" s="66"/>
      <c r="O24" s="66"/>
      <c r="P24" s="66"/>
      <c r="Q24" s="66"/>
      <c r="R24" s="66"/>
      <c r="S24" s="66"/>
      <c r="T24" s="54">
        <f t="shared" si="3"/>
        <v>8014504.2599999998</v>
      </c>
      <c r="U24" s="66"/>
      <c r="V24" s="66">
        <f t="shared" si="4"/>
        <v>6631255.3700000001</v>
      </c>
      <c r="W24" s="70"/>
      <c r="X24" s="66"/>
      <c r="Y24" s="66"/>
      <c r="Z24" s="69">
        <f t="shared" si="6"/>
        <v>1154986.25</v>
      </c>
      <c r="AA24" s="71"/>
    </row>
    <row r="25" spans="1:27" s="38" customFormat="1" x14ac:dyDescent="0.25">
      <c r="A25" s="23" t="s">
        <v>23</v>
      </c>
      <c r="B25" s="22" t="s">
        <v>56</v>
      </c>
      <c r="C25" s="23">
        <v>111</v>
      </c>
      <c r="D25" s="24">
        <v>211</v>
      </c>
      <c r="E25" s="33">
        <f>SUM(G25+H25+J25+K25+L25)</f>
        <v>1614743.46</v>
      </c>
      <c r="F25" s="55"/>
      <c r="G25" s="34"/>
      <c r="H25" s="34">
        <f>1572231.46-25000</f>
        <v>1547231.46</v>
      </c>
      <c r="I25" s="28">
        <v>963323044</v>
      </c>
      <c r="J25" s="34"/>
      <c r="K25" s="34">
        <f>K20-K38</f>
        <v>67512</v>
      </c>
      <c r="L25" s="57"/>
      <c r="M25" s="58"/>
      <c r="N25" s="34"/>
      <c r="O25" s="34"/>
      <c r="P25" s="34"/>
      <c r="Q25" s="34"/>
      <c r="R25" s="34"/>
      <c r="S25" s="57"/>
      <c r="T25" s="33">
        <f t="shared" si="3"/>
        <v>1614743.46</v>
      </c>
      <c r="U25" s="34"/>
      <c r="V25" s="34">
        <f t="shared" si="4"/>
        <v>1547231.46</v>
      </c>
      <c r="W25" s="56"/>
      <c r="X25" s="34"/>
      <c r="Y25" s="34"/>
      <c r="Z25" s="36">
        <f t="shared" si="6"/>
        <v>0</v>
      </c>
      <c r="AA25" s="37"/>
    </row>
    <row r="26" spans="1:27" s="38" customFormat="1" x14ac:dyDescent="0.25">
      <c r="A26" s="23" t="s">
        <v>23</v>
      </c>
      <c r="B26" s="22" t="s">
        <v>58</v>
      </c>
      <c r="C26" s="23">
        <v>111</v>
      </c>
      <c r="D26" s="24">
        <v>211</v>
      </c>
      <c r="E26" s="33">
        <f t="shared" ref="E26:E28" si="7">SUM(G26+H26+J26+K26+L26)</f>
        <v>340360</v>
      </c>
      <c r="F26" s="55"/>
      <c r="G26" s="34"/>
      <c r="H26" s="34">
        <v>340360</v>
      </c>
      <c r="I26" s="28"/>
      <c r="J26" s="34"/>
      <c r="K26" s="34"/>
      <c r="L26" s="57"/>
      <c r="M26" s="58"/>
      <c r="N26" s="34"/>
      <c r="O26" s="34"/>
      <c r="P26" s="34"/>
      <c r="Q26" s="34"/>
      <c r="R26" s="34"/>
      <c r="S26" s="57"/>
      <c r="T26" s="33">
        <f t="shared" si="3"/>
        <v>340360</v>
      </c>
      <c r="U26" s="34"/>
      <c r="V26" s="34">
        <f t="shared" si="4"/>
        <v>340360</v>
      </c>
      <c r="W26" s="61"/>
      <c r="X26" s="34"/>
      <c r="Y26" s="34"/>
      <c r="Z26" s="36">
        <f t="shared" si="6"/>
        <v>0</v>
      </c>
      <c r="AA26" s="37"/>
    </row>
    <row r="27" spans="1:27" s="38" customFormat="1" x14ac:dyDescent="0.25">
      <c r="A27" s="23" t="s">
        <v>23</v>
      </c>
      <c r="B27" s="22" t="s">
        <v>63</v>
      </c>
      <c r="C27" s="23">
        <v>111</v>
      </c>
      <c r="D27" s="24">
        <v>211</v>
      </c>
      <c r="E27" s="33">
        <f t="shared" si="7"/>
        <v>45171.040000000001</v>
      </c>
      <c r="F27" s="55"/>
      <c r="G27" s="34"/>
      <c r="H27" s="34"/>
      <c r="I27" s="28">
        <v>963323097</v>
      </c>
      <c r="J27" s="34"/>
      <c r="K27" s="34">
        <v>45171.040000000001</v>
      </c>
      <c r="L27" s="57"/>
      <c r="M27" s="58"/>
      <c r="N27" s="34"/>
      <c r="O27" s="34"/>
      <c r="P27" s="34"/>
      <c r="Q27" s="34"/>
      <c r="R27" s="34"/>
      <c r="S27" s="57"/>
      <c r="T27" s="33">
        <f t="shared" si="3"/>
        <v>45171.040000000001</v>
      </c>
      <c r="U27" s="34"/>
      <c r="V27" s="34">
        <f t="shared" si="4"/>
        <v>0</v>
      </c>
      <c r="W27" s="61"/>
      <c r="X27" s="34"/>
      <c r="Y27" s="34"/>
      <c r="Z27" s="36">
        <f t="shared" si="6"/>
        <v>0</v>
      </c>
      <c r="AA27" s="37"/>
    </row>
    <row r="28" spans="1:27" s="38" customFormat="1" x14ac:dyDescent="0.25">
      <c r="A28" s="23" t="s">
        <v>23</v>
      </c>
      <c r="B28" s="22" t="s">
        <v>59</v>
      </c>
      <c r="C28" s="23">
        <v>111</v>
      </c>
      <c r="D28" s="24">
        <v>211</v>
      </c>
      <c r="E28" s="33">
        <f t="shared" si="7"/>
        <v>38029.51</v>
      </c>
      <c r="F28" s="55"/>
      <c r="G28" s="34"/>
      <c r="H28" s="34">
        <v>33083.51</v>
      </c>
      <c r="I28" s="28"/>
      <c r="J28" s="34"/>
      <c r="K28" s="42"/>
      <c r="L28" s="57">
        <v>4946</v>
      </c>
      <c r="M28" s="58"/>
      <c r="N28" s="34"/>
      <c r="O28" s="34"/>
      <c r="P28" s="34"/>
      <c r="Q28" s="34"/>
      <c r="R28" s="34"/>
      <c r="S28" s="57"/>
      <c r="T28" s="33">
        <f t="shared" si="3"/>
        <v>38029.51</v>
      </c>
      <c r="U28" s="34"/>
      <c r="V28" s="34">
        <f t="shared" si="4"/>
        <v>33083.51</v>
      </c>
      <c r="W28" s="61"/>
      <c r="X28" s="34"/>
      <c r="Y28" s="34"/>
      <c r="Z28" s="36">
        <f t="shared" si="6"/>
        <v>4946</v>
      </c>
      <c r="AA28" s="37"/>
    </row>
    <row r="29" spans="1:27" s="38" customFormat="1" x14ac:dyDescent="0.25">
      <c r="A29" s="23" t="s">
        <v>82</v>
      </c>
      <c r="B29" s="22"/>
      <c r="C29" s="23"/>
      <c r="D29" s="24"/>
      <c r="E29" s="33"/>
      <c r="F29" s="55"/>
      <c r="G29" s="34"/>
      <c r="H29" s="34"/>
      <c r="I29" s="28"/>
      <c r="J29" s="34"/>
      <c r="K29" s="34"/>
      <c r="L29" s="57"/>
      <c r="M29" s="58"/>
      <c r="N29" s="34"/>
      <c r="O29" s="34"/>
      <c r="P29" s="34"/>
      <c r="Q29" s="34"/>
      <c r="R29" s="34"/>
      <c r="S29" s="57"/>
      <c r="T29" s="33">
        <f t="shared" si="3"/>
        <v>0</v>
      </c>
      <c r="U29" s="34"/>
      <c r="V29" s="34">
        <f t="shared" si="4"/>
        <v>0</v>
      </c>
      <c r="W29" s="61"/>
      <c r="X29" s="34"/>
      <c r="Y29" s="34"/>
      <c r="Z29" s="36">
        <f t="shared" si="6"/>
        <v>0</v>
      </c>
      <c r="AA29" s="37"/>
    </row>
    <row r="30" spans="1:27" s="50" customFormat="1" x14ac:dyDescent="0.25">
      <c r="A30" s="64" t="s">
        <v>24</v>
      </c>
      <c r="B30" s="64"/>
      <c r="C30" s="64"/>
      <c r="D30" s="65"/>
      <c r="E30" s="54">
        <f>SUM(E25:E28)</f>
        <v>2038304.01</v>
      </c>
      <c r="F30" s="66">
        <f>SUM(F25:F28)</f>
        <v>0</v>
      </c>
      <c r="G30" s="66">
        <f>SUM(G25:G28)</f>
        <v>0</v>
      </c>
      <c r="H30" s="66">
        <f>SUM(H25:H28)</f>
        <v>1920674.97</v>
      </c>
      <c r="I30" s="28"/>
      <c r="J30" s="66">
        <f>SUM(J25:J28)</f>
        <v>0</v>
      </c>
      <c r="K30" s="66">
        <f>SUM(K25:K27)</f>
        <v>112683.04000000001</v>
      </c>
      <c r="L30" s="68">
        <f>L25+L26+L27+L28</f>
        <v>4946</v>
      </c>
      <c r="M30" s="58"/>
      <c r="N30" s="66"/>
      <c r="O30" s="66"/>
      <c r="P30" s="66"/>
      <c r="Q30" s="66"/>
      <c r="R30" s="66"/>
      <c r="S30" s="68"/>
      <c r="T30" s="54">
        <f t="shared" si="3"/>
        <v>2038304.01</v>
      </c>
      <c r="U30" s="66"/>
      <c r="V30" s="66">
        <f t="shared" si="4"/>
        <v>1920674.97</v>
      </c>
      <c r="W30" s="70"/>
      <c r="X30" s="66"/>
      <c r="Y30" s="66"/>
      <c r="Z30" s="69">
        <f t="shared" si="6"/>
        <v>4946</v>
      </c>
      <c r="AA30" s="71"/>
    </row>
    <row r="31" spans="1:27" s="38" customFormat="1" ht="149.25" customHeight="1" x14ac:dyDescent="0.25">
      <c r="A31" s="21" t="s">
        <v>44</v>
      </c>
      <c r="B31" s="22" t="s">
        <v>56</v>
      </c>
      <c r="C31" s="23">
        <v>111</v>
      </c>
      <c r="D31" s="24">
        <v>266</v>
      </c>
      <c r="E31" s="33">
        <f>G31+H31</f>
        <v>25000</v>
      </c>
      <c r="F31" s="58"/>
      <c r="G31" s="34"/>
      <c r="H31" s="34">
        <v>25000</v>
      </c>
      <c r="I31" s="28"/>
      <c r="J31" s="66"/>
      <c r="K31" s="66"/>
      <c r="L31" s="68"/>
      <c r="M31" s="58"/>
      <c r="N31" s="34"/>
      <c r="O31" s="34"/>
      <c r="P31" s="34"/>
      <c r="Q31" s="34"/>
      <c r="R31" s="34"/>
      <c r="S31" s="57"/>
      <c r="T31" s="33">
        <f t="shared" si="3"/>
        <v>25000</v>
      </c>
      <c r="U31" s="34"/>
      <c r="V31" s="34">
        <f t="shared" si="4"/>
        <v>25000</v>
      </c>
      <c r="W31" s="70"/>
      <c r="X31" s="66"/>
      <c r="Y31" s="66"/>
      <c r="Z31" s="36">
        <f t="shared" si="6"/>
        <v>0</v>
      </c>
      <c r="AA31" s="37"/>
    </row>
    <row r="32" spans="1:27" s="38" customFormat="1" ht="142.5" customHeight="1" x14ac:dyDescent="0.25">
      <c r="A32" s="21" t="s">
        <v>44</v>
      </c>
      <c r="B32" s="22" t="s">
        <v>58</v>
      </c>
      <c r="C32" s="23">
        <v>111</v>
      </c>
      <c r="D32" s="24">
        <v>266</v>
      </c>
      <c r="E32" s="33">
        <f>G32+H32</f>
        <v>0</v>
      </c>
      <c r="F32" s="55"/>
      <c r="G32" s="34"/>
      <c r="H32" s="23">
        <v>0</v>
      </c>
      <c r="I32" s="28"/>
      <c r="J32" s="34"/>
      <c r="K32" s="34"/>
      <c r="L32" s="57"/>
      <c r="M32" s="58"/>
      <c r="N32" s="34"/>
      <c r="O32" s="34"/>
      <c r="P32" s="34"/>
      <c r="Q32" s="34"/>
      <c r="R32" s="34"/>
      <c r="S32" s="57"/>
      <c r="T32" s="33">
        <f t="shared" si="3"/>
        <v>0</v>
      </c>
      <c r="U32" s="34"/>
      <c r="V32" s="34">
        <f t="shared" si="4"/>
        <v>0</v>
      </c>
      <c r="W32" s="56"/>
      <c r="X32" s="34"/>
      <c r="Y32" s="34"/>
      <c r="Z32" s="36">
        <f t="shared" si="6"/>
        <v>0</v>
      </c>
      <c r="AA32" s="37"/>
    </row>
    <row r="33" spans="1:27" s="50" customFormat="1" x14ac:dyDescent="0.25">
      <c r="A33" s="64" t="s">
        <v>43</v>
      </c>
      <c r="B33" s="64"/>
      <c r="C33" s="64"/>
      <c r="D33" s="65"/>
      <c r="E33" s="54">
        <f>SUM(E31:E32)</f>
        <v>25000</v>
      </c>
      <c r="F33" s="66">
        <f t="shared" ref="F33:G33" si="8">SUM(F31:F32)</f>
        <v>0</v>
      </c>
      <c r="G33" s="66">
        <f t="shared" si="8"/>
        <v>0</v>
      </c>
      <c r="H33" s="66">
        <f>SUM(H31:H32)</f>
        <v>25000</v>
      </c>
      <c r="I33" s="28"/>
      <c r="J33" s="66"/>
      <c r="K33" s="66">
        <f>K32</f>
        <v>0</v>
      </c>
      <c r="L33" s="68">
        <f>L32</f>
        <v>0</v>
      </c>
      <c r="M33" s="58"/>
      <c r="N33" s="66"/>
      <c r="O33" s="66"/>
      <c r="P33" s="66"/>
      <c r="Q33" s="66"/>
      <c r="R33" s="66"/>
      <c r="S33" s="68"/>
      <c r="T33" s="54">
        <f t="shared" si="3"/>
        <v>25000</v>
      </c>
      <c r="U33" s="66"/>
      <c r="V33" s="66">
        <f t="shared" si="4"/>
        <v>25000</v>
      </c>
      <c r="W33" s="70"/>
      <c r="X33" s="66"/>
      <c r="Y33" s="66"/>
      <c r="Z33" s="69">
        <f t="shared" si="6"/>
        <v>0</v>
      </c>
      <c r="AA33" s="71"/>
    </row>
    <row r="34" spans="1:27" s="38" customFormat="1" x14ac:dyDescent="0.25">
      <c r="A34" s="21" t="s">
        <v>46</v>
      </c>
      <c r="B34" s="22"/>
      <c r="C34" s="23">
        <v>112</v>
      </c>
      <c r="D34" s="24">
        <v>212</v>
      </c>
      <c r="E34" s="33">
        <f>SUM(G34+H34+J34+K34+L34)</f>
        <v>0</v>
      </c>
      <c r="F34" s="55"/>
      <c r="G34" s="34"/>
      <c r="H34" s="34"/>
      <c r="I34" s="28"/>
      <c r="J34" s="34"/>
      <c r="K34" s="34"/>
      <c r="L34" s="57"/>
      <c r="M34" s="58"/>
      <c r="N34" s="34"/>
      <c r="O34" s="34"/>
      <c r="P34" s="34"/>
      <c r="Q34" s="34"/>
      <c r="R34" s="34"/>
      <c r="S34" s="57"/>
      <c r="T34" s="33">
        <f t="shared" si="3"/>
        <v>0</v>
      </c>
      <c r="U34" s="34"/>
      <c r="V34" s="34">
        <f t="shared" si="4"/>
        <v>0</v>
      </c>
      <c r="W34" s="61"/>
      <c r="X34" s="34"/>
      <c r="Y34" s="34"/>
      <c r="Z34" s="36">
        <f t="shared" si="6"/>
        <v>0</v>
      </c>
      <c r="AA34" s="37"/>
    </row>
    <row r="35" spans="1:27" s="38" customFormat="1" x14ac:dyDescent="0.25">
      <c r="A35" s="62" t="s">
        <v>45</v>
      </c>
      <c r="B35" s="22"/>
      <c r="C35" s="23"/>
      <c r="D35" s="24"/>
      <c r="E35" s="45">
        <f>E34</f>
        <v>0</v>
      </c>
      <c r="F35" s="31"/>
      <c r="G35" s="27"/>
      <c r="H35" s="29">
        <f>H34</f>
        <v>0</v>
      </c>
      <c r="I35" s="28"/>
      <c r="J35" s="29"/>
      <c r="K35" s="29">
        <f>K34</f>
        <v>0</v>
      </c>
      <c r="L35" s="30">
        <f>L34</f>
        <v>0</v>
      </c>
      <c r="M35" s="31"/>
      <c r="N35" s="27"/>
      <c r="O35" s="27"/>
      <c r="P35" s="27"/>
      <c r="Q35" s="27"/>
      <c r="R35" s="27"/>
      <c r="S35" s="32"/>
      <c r="T35" s="33">
        <f t="shared" si="3"/>
        <v>0</v>
      </c>
      <c r="U35" s="31"/>
      <c r="V35" s="34">
        <f t="shared" si="4"/>
        <v>0</v>
      </c>
      <c r="W35" s="35"/>
      <c r="X35" s="31"/>
      <c r="Y35" s="31"/>
      <c r="Z35" s="36">
        <f t="shared" si="6"/>
        <v>0</v>
      </c>
      <c r="AA35" s="37"/>
    </row>
    <row r="36" spans="1:27" s="38" customFormat="1" ht="25.5" x14ac:dyDescent="0.25">
      <c r="A36" s="21" t="s">
        <v>85</v>
      </c>
      <c r="B36" s="22" t="s">
        <v>59</v>
      </c>
      <c r="C36" s="23">
        <v>112</v>
      </c>
      <c r="D36" s="24">
        <v>222</v>
      </c>
      <c r="E36" s="33">
        <f>SUM(G36+H36+J36+K36+L36)</f>
        <v>1854.2400000000002</v>
      </c>
      <c r="F36" s="55"/>
      <c r="G36" s="34"/>
      <c r="H36" s="34">
        <v>1631.38</v>
      </c>
      <c r="I36" s="28"/>
      <c r="J36" s="34"/>
      <c r="K36" s="34"/>
      <c r="L36" s="57">
        <v>222.86</v>
      </c>
      <c r="M36" s="58"/>
      <c r="N36" s="34"/>
      <c r="O36" s="34"/>
      <c r="P36" s="34"/>
      <c r="Q36" s="34"/>
      <c r="R36" s="34"/>
      <c r="S36" s="57"/>
      <c r="T36" s="33">
        <f t="shared" si="3"/>
        <v>1854.2400000000002</v>
      </c>
      <c r="U36" s="34"/>
      <c r="V36" s="34">
        <f t="shared" si="4"/>
        <v>1631.38</v>
      </c>
      <c r="W36" s="61"/>
      <c r="X36" s="34"/>
      <c r="Y36" s="34"/>
      <c r="Z36" s="36">
        <f t="shared" si="6"/>
        <v>222.86</v>
      </c>
      <c r="AA36" s="37"/>
    </row>
    <row r="37" spans="1:27" s="50" customFormat="1" x14ac:dyDescent="0.25">
      <c r="A37" s="62" t="s">
        <v>86</v>
      </c>
      <c r="B37" s="63"/>
      <c r="C37" s="64"/>
      <c r="D37" s="65"/>
      <c r="E37" s="45">
        <f>H37+K37+L37+G37</f>
        <v>1854.2400000000002</v>
      </c>
      <c r="F37" s="31"/>
      <c r="G37" s="29">
        <f>G36</f>
        <v>0</v>
      </c>
      <c r="H37" s="29">
        <f>H36</f>
        <v>1631.38</v>
      </c>
      <c r="I37" s="28"/>
      <c r="J37" s="29"/>
      <c r="K37" s="29">
        <f>K36</f>
        <v>0</v>
      </c>
      <c r="L37" s="30">
        <f>L36</f>
        <v>222.86</v>
      </c>
      <c r="M37" s="31"/>
      <c r="N37" s="29"/>
      <c r="O37" s="29"/>
      <c r="P37" s="29"/>
      <c r="Q37" s="29"/>
      <c r="R37" s="29"/>
      <c r="S37" s="72"/>
      <c r="T37" s="54">
        <f t="shared" si="3"/>
        <v>1854.2400000000002</v>
      </c>
      <c r="U37" s="31"/>
      <c r="V37" s="66">
        <f t="shared" si="4"/>
        <v>1631.38</v>
      </c>
      <c r="W37" s="35"/>
      <c r="X37" s="31"/>
      <c r="Y37" s="31"/>
      <c r="Z37" s="69">
        <f t="shared" si="6"/>
        <v>222.86</v>
      </c>
      <c r="AA37" s="71"/>
    </row>
    <row r="38" spans="1:27" s="38" customFormat="1" ht="38.25" x14ac:dyDescent="0.25">
      <c r="A38" s="21" t="s">
        <v>25</v>
      </c>
      <c r="B38" s="22" t="s">
        <v>56</v>
      </c>
      <c r="C38" s="23">
        <v>119</v>
      </c>
      <c r="D38" s="24">
        <v>213</v>
      </c>
      <c r="E38" s="33">
        <f>SUM(G38+H38+J38+K38+L38+F38)</f>
        <v>495201.91</v>
      </c>
      <c r="F38" s="34"/>
      <c r="G38" s="34"/>
      <c r="H38" s="34">
        <v>474813.91</v>
      </c>
      <c r="I38" s="28">
        <v>963323044</v>
      </c>
      <c r="J38" s="34"/>
      <c r="K38" s="34">
        <v>20388</v>
      </c>
      <c r="L38" s="34"/>
      <c r="M38" s="58"/>
      <c r="N38" s="34"/>
      <c r="O38" s="34"/>
      <c r="P38" s="34"/>
      <c r="Q38" s="34"/>
      <c r="R38" s="34"/>
      <c r="S38" s="57"/>
      <c r="T38" s="33">
        <f t="shared" si="3"/>
        <v>495201.91</v>
      </c>
      <c r="U38" s="34"/>
      <c r="V38" s="34">
        <f t="shared" si="4"/>
        <v>474813.91</v>
      </c>
      <c r="W38" s="61"/>
      <c r="X38" s="34"/>
      <c r="Y38" s="34"/>
      <c r="Z38" s="36">
        <f t="shared" si="6"/>
        <v>0</v>
      </c>
      <c r="AA38" s="37"/>
    </row>
    <row r="39" spans="1:27" s="38" customFormat="1" ht="38.25" x14ac:dyDescent="0.25">
      <c r="A39" s="21" t="s">
        <v>25</v>
      </c>
      <c r="B39" s="22" t="s">
        <v>58</v>
      </c>
      <c r="C39" s="23">
        <v>119</v>
      </c>
      <c r="D39" s="24">
        <v>213</v>
      </c>
      <c r="E39" s="33">
        <f>SUM(G39+H39+J39+K39+L39+F39)</f>
        <v>102790</v>
      </c>
      <c r="F39" s="34"/>
      <c r="G39" s="34"/>
      <c r="H39" s="34">
        <v>102790</v>
      </c>
      <c r="I39" s="28"/>
      <c r="J39" s="34"/>
      <c r="K39" s="34">
        <f>K26*30.2%</f>
        <v>0</v>
      </c>
      <c r="L39" s="34"/>
      <c r="M39" s="58"/>
      <c r="N39" s="34"/>
      <c r="O39" s="34"/>
      <c r="P39" s="34"/>
      <c r="Q39" s="34"/>
      <c r="R39" s="34"/>
      <c r="S39" s="57"/>
      <c r="T39" s="33">
        <f t="shared" si="3"/>
        <v>102790</v>
      </c>
      <c r="U39" s="34"/>
      <c r="V39" s="34">
        <f t="shared" si="4"/>
        <v>102790</v>
      </c>
      <c r="W39" s="56"/>
      <c r="X39" s="34"/>
      <c r="Y39" s="34"/>
      <c r="Z39" s="36">
        <f t="shared" si="6"/>
        <v>0</v>
      </c>
      <c r="AA39" s="37"/>
    </row>
    <row r="40" spans="1:27" s="38" customFormat="1" ht="38.25" x14ac:dyDescent="0.25">
      <c r="A40" s="21" t="s">
        <v>25</v>
      </c>
      <c r="B40" s="22" t="s">
        <v>59</v>
      </c>
      <c r="C40" s="23">
        <v>119</v>
      </c>
      <c r="D40" s="24">
        <v>213</v>
      </c>
      <c r="E40" s="33">
        <f>SUM(G40+H40+J40+K40+L40+F40)</f>
        <v>11484.93</v>
      </c>
      <c r="F40" s="34"/>
      <c r="G40" s="34"/>
      <c r="H40" s="34">
        <v>9991.2199999999993</v>
      </c>
      <c r="I40" s="28"/>
      <c r="J40" s="34"/>
      <c r="K40" s="42"/>
      <c r="L40" s="34">
        <v>1493.71</v>
      </c>
      <c r="M40" s="58"/>
      <c r="N40" s="34"/>
      <c r="O40" s="34"/>
      <c r="P40" s="34"/>
      <c r="Q40" s="34"/>
      <c r="R40" s="34"/>
      <c r="S40" s="57"/>
      <c r="T40" s="33">
        <f t="shared" si="3"/>
        <v>11484.93</v>
      </c>
      <c r="U40" s="34"/>
      <c r="V40" s="34">
        <f t="shared" si="4"/>
        <v>9991.2199999999993</v>
      </c>
      <c r="W40" s="56"/>
      <c r="X40" s="34"/>
      <c r="Y40" s="34"/>
      <c r="Z40" s="36">
        <f t="shared" si="6"/>
        <v>1493.71</v>
      </c>
      <c r="AA40" s="37"/>
    </row>
    <row r="41" spans="1:27" s="38" customFormat="1" ht="38.25" x14ac:dyDescent="0.25">
      <c r="A41" s="21" t="s">
        <v>25</v>
      </c>
      <c r="B41" s="22" t="s">
        <v>63</v>
      </c>
      <c r="C41" s="23">
        <v>119</v>
      </c>
      <c r="D41" s="24">
        <v>213</v>
      </c>
      <c r="E41" s="33">
        <f t="shared" ref="E41" si="9">SUM(G41+H41+J41+K41+L41+F41)</f>
        <v>13641.6</v>
      </c>
      <c r="F41" s="27"/>
      <c r="G41" s="27"/>
      <c r="H41" s="27"/>
      <c r="I41" s="28">
        <v>963323097</v>
      </c>
      <c r="J41" s="27"/>
      <c r="K41" s="34">
        <v>13641.6</v>
      </c>
      <c r="L41" s="27"/>
      <c r="M41" s="31"/>
      <c r="N41" s="27"/>
      <c r="O41" s="27"/>
      <c r="P41" s="27"/>
      <c r="Q41" s="27"/>
      <c r="R41" s="27"/>
      <c r="S41" s="32"/>
      <c r="T41" s="33">
        <f t="shared" si="3"/>
        <v>13641.6</v>
      </c>
      <c r="U41" s="26"/>
      <c r="V41" s="34">
        <f t="shared" si="4"/>
        <v>0</v>
      </c>
      <c r="W41" s="73"/>
      <c r="X41" s="26"/>
      <c r="Y41" s="26"/>
      <c r="Z41" s="36">
        <f t="shared" si="6"/>
        <v>0</v>
      </c>
      <c r="AA41" s="37"/>
    </row>
    <row r="42" spans="1:27" s="50" customFormat="1" x14ac:dyDescent="0.25">
      <c r="A42" s="62" t="s">
        <v>26</v>
      </c>
      <c r="B42" s="63"/>
      <c r="C42" s="64"/>
      <c r="D42" s="65"/>
      <c r="E42" s="45">
        <f>SUM(E38:E40)</f>
        <v>609476.84</v>
      </c>
      <c r="F42" s="29">
        <f>SUM(F38:F40)</f>
        <v>0</v>
      </c>
      <c r="G42" s="29">
        <f>SUM(G38:G40)</f>
        <v>0</v>
      </c>
      <c r="H42" s="29">
        <f>SUM(H38:H40)</f>
        <v>587595.12999999989</v>
      </c>
      <c r="I42" s="28"/>
      <c r="J42" s="29">
        <f>SUM(J38:J40)</f>
        <v>0</v>
      </c>
      <c r="K42" s="29">
        <f>SUM(K38:K41)</f>
        <v>34029.599999999999</v>
      </c>
      <c r="L42" s="29">
        <f>SUM(L38:L40)</f>
        <v>1493.71</v>
      </c>
      <c r="M42" s="31"/>
      <c r="N42" s="29"/>
      <c r="O42" s="29"/>
      <c r="P42" s="29"/>
      <c r="Q42" s="29"/>
      <c r="R42" s="29"/>
      <c r="S42" s="72"/>
      <c r="T42" s="54">
        <f t="shared" si="3"/>
        <v>609476.84</v>
      </c>
      <c r="U42" s="31"/>
      <c r="V42" s="66">
        <f t="shared" si="4"/>
        <v>587595.12999999989</v>
      </c>
      <c r="W42" s="35"/>
      <c r="X42" s="31"/>
      <c r="Y42" s="31"/>
      <c r="Z42" s="69">
        <f t="shared" si="6"/>
        <v>1493.71</v>
      </c>
      <c r="AA42" s="71"/>
    </row>
    <row r="43" spans="1:27" s="38" customFormat="1" ht="25.5" x14ac:dyDescent="0.25">
      <c r="A43" s="21" t="s">
        <v>48</v>
      </c>
      <c r="B43" s="22" t="s">
        <v>56</v>
      </c>
      <c r="C43" s="23">
        <v>244</v>
      </c>
      <c r="D43" s="24">
        <v>221</v>
      </c>
      <c r="E43" s="25">
        <f>H43+K43+L43</f>
        <v>27600</v>
      </c>
      <c r="F43" s="26"/>
      <c r="G43" s="27"/>
      <c r="H43" s="27">
        <v>27600</v>
      </c>
      <c r="I43" s="28"/>
      <c r="J43" s="29"/>
      <c r="K43" s="29"/>
      <c r="L43" s="30"/>
      <c r="M43" s="31"/>
      <c r="N43" s="27"/>
      <c r="O43" s="27"/>
      <c r="P43" s="27"/>
      <c r="Q43" s="27"/>
      <c r="R43" s="27"/>
      <c r="S43" s="32"/>
      <c r="T43" s="33">
        <f t="shared" si="3"/>
        <v>27600</v>
      </c>
      <c r="U43" s="27"/>
      <c r="V43" s="34">
        <f t="shared" si="4"/>
        <v>27600</v>
      </c>
      <c r="W43" s="35"/>
      <c r="X43" s="31"/>
      <c r="Y43" s="31"/>
      <c r="Z43" s="36">
        <f t="shared" si="6"/>
        <v>0</v>
      </c>
      <c r="AA43" s="37"/>
    </row>
    <row r="44" spans="1:27" s="38" customFormat="1" ht="25.5" x14ac:dyDescent="0.25">
      <c r="A44" s="21" t="s">
        <v>48</v>
      </c>
      <c r="B44" s="22" t="s">
        <v>58</v>
      </c>
      <c r="C44" s="23">
        <v>244</v>
      </c>
      <c r="D44" s="24">
        <v>221</v>
      </c>
      <c r="E44" s="25">
        <f>H44+K44+L44</f>
        <v>53586</v>
      </c>
      <c r="F44" s="26"/>
      <c r="G44" s="27"/>
      <c r="H44" s="27">
        <v>53586</v>
      </c>
      <c r="I44" s="28"/>
      <c r="J44" s="29"/>
      <c r="K44" s="29"/>
      <c r="L44" s="30"/>
      <c r="M44" s="31"/>
      <c r="N44" s="27"/>
      <c r="O44" s="27"/>
      <c r="P44" s="27"/>
      <c r="Q44" s="27"/>
      <c r="R44" s="27"/>
      <c r="S44" s="32"/>
      <c r="T44" s="33">
        <f t="shared" si="3"/>
        <v>53586</v>
      </c>
      <c r="U44" s="27"/>
      <c r="V44" s="34">
        <f t="shared" si="4"/>
        <v>53586</v>
      </c>
      <c r="W44" s="35"/>
      <c r="X44" s="31"/>
      <c r="Y44" s="31"/>
      <c r="Z44" s="36">
        <f t="shared" si="6"/>
        <v>0</v>
      </c>
      <c r="AA44" s="37"/>
    </row>
    <row r="45" spans="1:27" s="38" customFormat="1" ht="25.5" x14ac:dyDescent="0.25">
      <c r="A45" s="21" t="s">
        <v>116</v>
      </c>
      <c r="B45" s="22" t="s">
        <v>56</v>
      </c>
      <c r="C45" s="23">
        <v>244</v>
      </c>
      <c r="D45" s="24">
        <v>221</v>
      </c>
      <c r="E45" s="25">
        <f>H45+K45+L45</f>
        <v>13200</v>
      </c>
      <c r="F45" s="26"/>
      <c r="G45" s="27"/>
      <c r="H45" s="27">
        <f>13200</f>
        <v>13200</v>
      </c>
      <c r="I45" s="28"/>
      <c r="J45" s="29"/>
      <c r="K45" s="29"/>
      <c r="L45" s="30"/>
      <c r="M45" s="31"/>
      <c r="N45" s="27"/>
      <c r="O45" s="27"/>
      <c r="P45" s="27"/>
      <c r="Q45" s="27"/>
      <c r="R45" s="27"/>
      <c r="S45" s="32"/>
      <c r="T45" s="33">
        <f t="shared" si="3"/>
        <v>13200</v>
      </c>
      <c r="U45" s="27"/>
      <c r="V45" s="34">
        <f t="shared" si="4"/>
        <v>13200</v>
      </c>
      <c r="W45" s="35"/>
      <c r="X45" s="31"/>
      <c r="Y45" s="31"/>
      <c r="Z45" s="36">
        <f t="shared" si="6"/>
        <v>0</v>
      </c>
      <c r="AA45" s="37"/>
    </row>
    <row r="46" spans="1:27" s="38" customFormat="1" x14ac:dyDescent="0.25">
      <c r="A46" s="21" t="s">
        <v>47</v>
      </c>
      <c r="B46" s="22" t="s">
        <v>58</v>
      </c>
      <c r="C46" s="23">
        <v>244</v>
      </c>
      <c r="D46" s="24">
        <v>221</v>
      </c>
      <c r="E46" s="25">
        <f>H46+K46+L46</f>
        <v>0</v>
      </c>
      <c r="F46" s="26"/>
      <c r="G46" s="27"/>
      <c r="H46" s="27"/>
      <c r="I46" s="28"/>
      <c r="J46" s="29"/>
      <c r="K46" s="29"/>
      <c r="L46" s="30"/>
      <c r="M46" s="31"/>
      <c r="N46" s="27"/>
      <c r="O46" s="27"/>
      <c r="P46" s="27"/>
      <c r="Q46" s="27"/>
      <c r="R46" s="27"/>
      <c r="S46" s="32"/>
      <c r="T46" s="33">
        <f t="shared" si="3"/>
        <v>0</v>
      </c>
      <c r="U46" s="27"/>
      <c r="V46" s="34">
        <f t="shared" si="4"/>
        <v>0</v>
      </c>
      <c r="W46" s="35"/>
      <c r="X46" s="31"/>
      <c r="Y46" s="31"/>
      <c r="Z46" s="36">
        <f t="shared" si="6"/>
        <v>0</v>
      </c>
      <c r="AA46" s="37"/>
    </row>
    <row r="47" spans="1:27" s="50" customFormat="1" x14ac:dyDescent="0.25">
      <c r="A47" s="62" t="s">
        <v>27</v>
      </c>
      <c r="B47" s="63"/>
      <c r="C47" s="64"/>
      <c r="D47" s="65"/>
      <c r="E47" s="45">
        <f>SUM(E43:E46)</f>
        <v>94386</v>
      </c>
      <c r="F47" s="31">
        <f>SUM(F43:F46)</f>
        <v>0</v>
      </c>
      <c r="G47" s="31">
        <f t="shared" ref="G47" si="10">SUM(G43:G46)</f>
        <v>0</v>
      </c>
      <c r="H47" s="31">
        <f>SUM(H43:H46)</f>
        <v>94386</v>
      </c>
      <c r="I47" s="28"/>
      <c r="J47" s="31">
        <f t="shared" ref="J47:L47" si="11">SUM(J43:J46)</f>
        <v>0</v>
      </c>
      <c r="K47" s="31">
        <f t="shared" si="11"/>
        <v>0</v>
      </c>
      <c r="L47" s="31">
        <f t="shared" si="11"/>
        <v>0</v>
      </c>
      <c r="M47" s="31"/>
      <c r="N47" s="29"/>
      <c r="O47" s="29"/>
      <c r="P47" s="29"/>
      <c r="Q47" s="29"/>
      <c r="R47" s="29"/>
      <c r="S47" s="72"/>
      <c r="T47" s="54">
        <f t="shared" si="3"/>
        <v>94386</v>
      </c>
      <c r="U47" s="29"/>
      <c r="V47" s="66">
        <f t="shared" si="4"/>
        <v>94386</v>
      </c>
      <c r="W47" s="35"/>
      <c r="X47" s="31"/>
      <c r="Y47" s="31"/>
      <c r="Z47" s="69">
        <f t="shared" si="6"/>
        <v>0</v>
      </c>
      <c r="AA47" s="71"/>
    </row>
    <row r="48" spans="1:27" s="38" customFormat="1" x14ac:dyDescent="0.25">
      <c r="A48" s="21" t="s">
        <v>28</v>
      </c>
      <c r="B48" s="22" t="s">
        <v>56</v>
      </c>
      <c r="C48" s="23">
        <v>244</v>
      </c>
      <c r="D48" s="24">
        <v>223</v>
      </c>
      <c r="E48" s="25">
        <f>H48+L48</f>
        <v>21600</v>
      </c>
      <c r="F48" s="26"/>
      <c r="G48" s="27"/>
      <c r="H48" s="27">
        <v>21600</v>
      </c>
      <c r="I48" s="28"/>
      <c r="J48" s="29"/>
      <c r="K48" s="29"/>
      <c r="L48" s="39"/>
      <c r="M48" s="31"/>
      <c r="N48" s="27"/>
      <c r="O48" s="27"/>
      <c r="P48" s="27"/>
      <c r="Q48" s="27"/>
      <c r="R48" s="27"/>
      <c r="S48" s="32"/>
      <c r="T48" s="33">
        <f t="shared" si="3"/>
        <v>21600</v>
      </c>
      <c r="U48" s="27"/>
      <c r="V48" s="34">
        <f t="shared" si="4"/>
        <v>21600</v>
      </c>
      <c r="W48" s="40"/>
      <c r="X48" s="29"/>
      <c r="Y48" s="29"/>
      <c r="Z48" s="36">
        <f t="shared" si="6"/>
        <v>0</v>
      </c>
      <c r="AA48" s="37"/>
    </row>
    <row r="49" spans="1:27" s="38" customFormat="1" x14ac:dyDescent="0.25">
      <c r="A49" s="21" t="s">
        <v>28</v>
      </c>
      <c r="B49" s="22" t="s">
        <v>58</v>
      </c>
      <c r="C49" s="23">
        <v>244</v>
      </c>
      <c r="D49" s="24">
        <v>223</v>
      </c>
      <c r="E49" s="25">
        <f>H49+L49</f>
        <v>57841.33</v>
      </c>
      <c r="F49" s="26"/>
      <c r="G49" s="27"/>
      <c r="H49" s="27">
        <v>36480</v>
      </c>
      <c r="I49" s="28"/>
      <c r="J49" s="29"/>
      <c r="K49" s="29"/>
      <c r="L49" s="39">
        <v>21361.33</v>
      </c>
      <c r="M49" s="31"/>
      <c r="N49" s="27"/>
      <c r="O49" s="27"/>
      <c r="P49" s="27"/>
      <c r="Q49" s="27"/>
      <c r="R49" s="27"/>
      <c r="S49" s="32"/>
      <c r="T49" s="33">
        <f t="shared" si="3"/>
        <v>57841.33</v>
      </c>
      <c r="U49" s="27"/>
      <c r="V49" s="34">
        <f t="shared" si="4"/>
        <v>36480</v>
      </c>
      <c r="W49" s="40"/>
      <c r="X49" s="29"/>
      <c r="Y49" s="29"/>
      <c r="Z49" s="36">
        <f t="shared" si="6"/>
        <v>21361.33</v>
      </c>
      <c r="AA49" s="37"/>
    </row>
    <row r="50" spans="1:27" s="38" customFormat="1" x14ac:dyDescent="0.25">
      <c r="A50" s="21" t="s">
        <v>49</v>
      </c>
      <c r="B50" s="22" t="s">
        <v>56</v>
      </c>
      <c r="C50" s="23">
        <v>244</v>
      </c>
      <c r="D50" s="24">
        <v>223</v>
      </c>
      <c r="E50" s="25">
        <f t="shared" ref="E50:E54" si="12">H50+L50</f>
        <v>51200</v>
      </c>
      <c r="F50" s="26"/>
      <c r="G50" s="27"/>
      <c r="H50" s="27">
        <v>51200</v>
      </c>
      <c r="I50" s="28"/>
      <c r="J50" s="29"/>
      <c r="K50" s="29"/>
      <c r="L50" s="39"/>
      <c r="M50" s="31"/>
      <c r="N50" s="27"/>
      <c r="O50" s="27"/>
      <c r="P50" s="27"/>
      <c r="Q50" s="27"/>
      <c r="R50" s="27"/>
      <c r="S50" s="32"/>
      <c r="T50" s="33">
        <f t="shared" si="3"/>
        <v>51200</v>
      </c>
      <c r="U50" s="27"/>
      <c r="V50" s="34">
        <f t="shared" si="4"/>
        <v>51200</v>
      </c>
      <c r="W50" s="40"/>
      <c r="X50" s="29"/>
      <c r="Y50" s="29"/>
      <c r="Z50" s="36">
        <f t="shared" si="6"/>
        <v>0</v>
      </c>
      <c r="AA50" s="37"/>
    </row>
    <row r="51" spans="1:27" s="38" customFormat="1" x14ac:dyDescent="0.25">
      <c r="A51" s="21" t="s">
        <v>49</v>
      </c>
      <c r="B51" s="22" t="s">
        <v>58</v>
      </c>
      <c r="C51" s="23">
        <v>244</v>
      </c>
      <c r="D51" s="24">
        <v>223</v>
      </c>
      <c r="E51" s="25">
        <f t="shared" si="12"/>
        <v>20900</v>
      </c>
      <c r="F51" s="26"/>
      <c r="G51" s="27"/>
      <c r="H51" s="27">
        <v>20900</v>
      </c>
      <c r="I51" s="28"/>
      <c r="J51" s="29"/>
      <c r="K51" s="29"/>
      <c r="L51" s="39"/>
      <c r="M51" s="31"/>
      <c r="N51" s="27"/>
      <c r="O51" s="27"/>
      <c r="P51" s="27"/>
      <c r="Q51" s="27"/>
      <c r="R51" s="27"/>
      <c r="S51" s="32"/>
      <c r="T51" s="33">
        <f t="shared" si="3"/>
        <v>20900</v>
      </c>
      <c r="U51" s="27"/>
      <c r="V51" s="34">
        <f t="shared" si="4"/>
        <v>20900</v>
      </c>
      <c r="W51" s="40"/>
      <c r="X51" s="29"/>
      <c r="Y51" s="29"/>
      <c r="Z51" s="36">
        <f t="shared" si="6"/>
        <v>0</v>
      </c>
      <c r="AA51" s="37"/>
    </row>
    <row r="52" spans="1:27" s="38" customFormat="1" x14ac:dyDescent="0.25">
      <c r="A52" s="21" t="s">
        <v>29</v>
      </c>
      <c r="B52" s="22" t="s">
        <v>56</v>
      </c>
      <c r="C52" s="23">
        <v>244</v>
      </c>
      <c r="D52" s="24">
        <v>223</v>
      </c>
      <c r="E52" s="25">
        <f t="shared" si="12"/>
        <v>0</v>
      </c>
      <c r="F52" s="26"/>
      <c r="G52" s="27"/>
      <c r="H52" s="27"/>
      <c r="I52" s="28"/>
      <c r="J52" s="29"/>
      <c r="K52" s="29"/>
      <c r="L52" s="39"/>
      <c r="M52" s="31"/>
      <c r="N52" s="27"/>
      <c r="O52" s="27"/>
      <c r="P52" s="27"/>
      <c r="Q52" s="27"/>
      <c r="R52" s="27"/>
      <c r="S52" s="32"/>
      <c r="T52" s="33">
        <f t="shared" si="3"/>
        <v>0</v>
      </c>
      <c r="U52" s="27"/>
      <c r="V52" s="34">
        <f t="shared" si="4"/>
        <v>0</v>
      </c>
      <c r="W52" s="40"/>
      <c r="X52" s="29"/>
      <c r="Y52" s="29"/>
      <c r="Z52" s="36">
        <f t="shared" si="6"/>
        <v>0</v>
      </c>
      <c r="AA52" s="37"/>
    </row>
    <row r="53" spans="1:27" s="38" customFormat="1" x14ac:dyDescent="0.25">
      <c r="A53" s="21" t="s">
        <v>30</v>
      </c>
      <c r="B53" s="22" t="s">
        <v>56</v>
      </c>
      <c r="C53" s="23">
        <v>244</v>
      </c>
      <c r="D53" s="24">
        <v>223</v>
      </c>
      <c r="E53" s="25">
        <f t="shared" si="12"/>
        <v>28000</v>
      </c>
      <c r="F53" s="26"/>
      <c r="G53" s="27"/>
      <c r="H53" s="27">
        <v>28000</v>
      </c>
      <c r="I53" s="28"/>
      <c r="J53" s="29"/>
      <c r="K53" s="29"/>
      <c r="L53" s="30"/>
      <c r="M53" s="31"/>
      <c r="N53" s="27"/>
      <c r="O53" s="27"/>
      <c r="P53" s="27"/>
      <c r="Q53" s="27"/>
      <c r="R53" s="27"/>
      <c r="S53" s="32"/>
      <c r="T53" s="33">
        <f t="shared" si="3"/>
        <v>28000</v>
      </c>
      <c r="U53" s="27"/>
      <c r="V53" s="34">
        <f t="shared" si="4"/>
        <v>28000</v>
      </c>
      <c r="W53" s="40"/>
      <c r="X53" s="29"/>
      <c r="Y53" s="29"/>
      <c r="Z53" s="36">
        <f t="shared" si="6"/>
        <v>0</v>
      </c>
      <c r="AA53" s="37"/>
    </row>
    <row r="54" spans="1:27" s="38" customFormat="1" ht="25.5" x14ac:dyDescent="0.25">
      <c r="A54" s="21" t="s">
        <v>50</v>
      </c>
      <c r="B54" s="22" t="s">
        <v>56</v>
      </c>
      <c r="C54" s="23">
        <v>244</v>
      </c>
      <c r="D54" s="24">
        <v>223</v>
      </c>
      <c r="E54" s="25">
        <f t="shared" si="12"/>
        <v>7182.95</v>
      </c>
      <c r="F54" s="26"/>
      <c r="G54" s="27"/>
      <c r="H54" s="27">
        <f>7182.95</f>
        <v>7182.95</v>
      </c>
      <c r="I54" s="28"/>
      <c r="J54" s="29"/>
      <c r="K54" s="29"/>
      <c r="L54" s="30"/>
      <c r="M54" s="31"/>
      <c r="N54" s="27"/>
      <c r="O54" s="27"/>
      <c r="P54" s="27"/>
      <c r="Q54" s="27"/>
      <c r="R54" s="27"/>
      <c r="S54" s="32"/>
      <c r="T54" s="33">
        <f t="shared" si="3"/>
        <v>7182.95</v>
      </c>
      <c r="U54" s="27"/>
      <c r="V54" s="34">
        <f t="shared" si="4"/>
        <v>7182.95</v>
      </c>
      <c r="W54" s="40"/>
      <c r="X54" s="29"/>
      <c r="Y54" s="29"/>
      <c r="Z54" s="36">
        <f t="shared" si="6"/>
        <v>0</v>
      </c>
      <c r="AA54" s="37"/>
    </row>
    <row r="55" spans="1:27" s="50" customFormat="1" x14ac:dyDescent="0.25">
      <c r="A55" s="62" t="s">
        <v>31</v>
      </c>
      <c r="B55" s="63"/>
      <c r="C55" s="64"/>
      <c r="D55" s="65"/>
      <c r="E55" s="45">
        <f>E48+E50+E52+E53+E54+E49+E51</f>
        <v>186724.28</v>
      </c>
      <c r="F55" s="45">
        <f t="shared" ref="F55:L55" si="13">F48+F50+F52+F53+F54+F49+F51</f>
        <v>0</v>
      </c>
      <c r="G55" s="45">
        <f t="shared" si="13"/>
        <v>0</v>
      </c>
      <c r="H55" s="45">
        <f>H48+H50+H52+H53+H54+H49+H51</f>
        <v>165362.95000000001</v>
      </c>
      <c r="I55" s="28"/>
      <c r="J55" s="45">
        <f t="shared" si="13"/>
        <v>0</v>
      </c>
      <c r="K55" s="45">
        <f t="shared" si="13"/>
        <v>0</v>
      </c>
      <c r="L55" s="45">
        <f t="shared" si="13"/>
        <v>21361.33</v>
      </c>
      <c r="M55" s="31"/>
      <c r="N55" s="29"/>
      <c r="O55" s="29"/>
      <c r="P55" s="29"/>
      <c r="Q55" s="29"/>
      <c r="R55" s="29"/>
      <c r="S55" s="72"/>
      <c r="T55" s="54">
        <f t="shared" si="3"/>
        <v>186724.28</v>
      </c>
      <c r="U55" s="29"/>
      <c r="V55" s="66">
        <f t="shared" si="4"/>
        <v>165362.95000000001</v>
      </c>
      <c r="W55" s="40"/>
      <c r="X55" s="29"/>
      <c r="Y55" s="29"/>
      <c r="Z55" s="69">
        <f t="shared" si="6"/>
        <v>21361.33</v>
      </c>
      <c r="AA55" s="71"/>
    </row>
    <row r="56" spans="1:27" s="38" customFormat="1" x14ac:dyDescent="0.25">
      <c r="A56" s="21" t="s">
        <v>32</v>
      </c>
      <c r="B56" s="22" t="s">
        <v>56</v>
      </c>
      <c r="C56" s="23">
        <v>247</v>
      </c>
      <c r="D56" s="24">
        <v>223</v>
      </c>
      <c r="E56" s="25">
        <f>H56+L56</f>
        <v>449700</v>
      </c>
      <c r="F56" s="26"/>
      <c r="G56" s="27"/>
      <c r="H56" s="27">
        <v>449700</v>
      </c>
      <c r="I56" s="28"/>
      <c r="J56" s="27"/>
      <c r="K56" s="27"/>
      <c r="L56" s="39"/>
      <c r="M56" s="31"/>
      <c r="N56" s="27"/>
      <c r="O56" s="27"/>
      <c r="P56" s="27"/>
      <c r="Q56" s="27"/>
      <c r="R56" s="27"/>
      <c r="S56" s="32"/>
      <c r="T56" s="33">
        <f t="shared" si="3"/>
        <v>449700</v>
      </c>
      <c r="U56" s="27"/>
      <c r="V56" s="34">
        <f t="shared" si="4"/>
        <v>449700</v>
      </c>
      <c r="W56" s="41"/>
      <c r="X56" s="27"/>
      <c r="Y56" s="27"/>
      <c r="Z56" s="36">
        <f t="shared" si="6"/>
        <v>0</v>
      </c>
      <c r="AA56" s="37"/>
    </row>
    <row r="57" spans="1:27" s="38" customFormat="1" x14ac:dyDescent="0.25">
      <c r="A57" s="21" t="s">
        <v>32</v>
      </c>
      <c r="B57" s="22" t="s">
        <v>58</v>
      </c>
      <c r="C57" s="23">
        <v>247</v>
      </c>
      <c r="D57" s="24">
        <v>223</v>
      </c>
      <c r="E57" s="25">
        <f>H57+L57</f>
        <v>703624.91999999993</v>
      </c>
      <c r="F57" s="26"/>
      <c r="G57" s="27"/>
      <c r="H57" s="27">
        <v>402100</v>
      </c>
      <c r="I57" s="28"/>
      <c r="J57" s="27"/>
      <c r="K57" s="27"/>
      <c r="L57" s="39">
        <v>301524.92</v>
      </c>
      <c r="M57" s="31"/>
      <c r="N57" s="27"/>
      <c r="O57" s="27"/>
      <c r="P57" s="27"/>
      <c r="Q57" s="27"/>
      <c r="R57" s="27"/>
      <c r="S57" s="32"/>
      <c r="T57" s="33">
        <f t="shared" si="3"/>
        <v>703624.91999999993</v>
      </c>
      <c r="U57" s="27"/>
      <c r="V57" s="34">
        <f t="shared" si="4"/>
        <v>402100</v>
      </c>
      <c r="W57" s="41"/>
      <c r="X57" s="27"/>
      <c r="Y57" s="27"/>
      <c r="Z57" s="36">
        <f t="shared" si="6"/>
        <v>301524.92</v>
      </c>
      <c r="AA57" s="37"/>
    </row>
    <row r="58" spans="1:27" s="38" customFormat="1" x14ac:dyDescent="0.25">
      <c r="A58" s="21" t="s">
        <v>33</v>
      </c>
      <c r="B58" s="22" t="s">
        <v>56</v>
      </c>
      <c r="C58" s="23">
        <v>247</v>
      </c>
      <c r="D58" s="24">
        <v>223</v>
      </c>
      <c r="E58" s="25">
        <f t="shared" ref="E58:E62" si="14">H58+L58</f>
        <v>25800</v>
      </c>
      <c r="F58" s="26"/>
      <c r="G58" s="27"/>
      <c r="H58" s="27">
        <v>25800</v>
      </c>
      <c r="I58" s="28"/>
      <c r="J58" s="27"/>
      <c r="K58" s="27"/>
      <c r="L58" s="39"/>
      <c r="M58" s="31"/>
      <c r="N58" s="27"/>
      <c r="O58" s="27"/>
      <c r="P58" s="27"/>
      <c r="Q58" s="27"/>
      <c r="R58" s="27"/>
      <c r="S58" s="32"/>
      <c r="T58" s="33">
        <f t="shared" si="3"/>
        <v>25800</v>
      </c>
      <c r="U58" s="27"/>
      <c r="V58" s="34">
        <f t="shared" si="4"/>
        <v>25800</v>
      </c>
      <c r="W58" s="41"/>
      <c r="X58" s="27"/>
      <c r="Y58" s="27"/>
      <c r="Z58" s="36">
        <f t="shared" si="6"/>
        <v>0</v>
      </c>
      <c r="AA58" s="37"/>
    </row>
    <row r="59" spans="1:27" s="38" customFormat="1" x14ac:dyDescent="0.25">
      <c r="A59" s="21" t="s">
        <v>33</v>
      </c>
      <c r="B59" s="22" t="s">
        <v>58</v>
      </c>
      <c r="C59" s="23">
        <v>247</v>
      </c>
      <c r="D59" s="24">
        <v>223</v>
      </c>
      <c r="E59" s="25">
        <f t="shared" si="14"/>
        <v>14300</v>
      </c>
      <c r="F59" s="26"/>
      <c r="G59" s="27"/>
      <c r="H59" s="27">
        <v>14300</v>
      </c>
      <c r="I59" s="28"/>
      <c r="J59" s="27"/>
      <c r="K59" s="27"/>
      <c r="L59" s="39"/>
      <c r="M59" s="31"/>
      <c r="N59" s="27"/>
      <c r="O59" s="27"/>
      <c r="P59" s="27"/>
      <c r="Q59" s="27"/>
      <c r="R59" s="27"/>
      <c r="S59" s="32"/>
      <c r="T59" s="33">
        <f t="shared" si="3"/>
        <v>14300</v>
      </c>
      <c r="U59" s="27"/>
      <c r="V59" s="34">
        <f t="shared" si="4"/>
        <v>14300</v>
      </c>
      <c r="W59" s="41"/>
      <c r="X59" s="27"/>
      <c r="Y59" s="27"/>
      <c r="Z59" s="36">
        <f t="shared" si="6"/>
        <v>0</v>
      </c>
      <c r="AA59" s="37"/>
    </row>
    <row r="60" spans="1:27" s="38" customFormat="1" x14ac:dyDescent="0.25">
      <c r="A60" s="21" t="s">
        <v>34</v>
      </c>
      <c r="B60" s="22" t="s">
        <v>56</v>
      </c>
      <c r="C60" s="23">
        <v>247</v>
      </c>
      <c r="D60" s="24">
        <v>223</v>
      </c>
      <c r="E60" s="25">
        <f t="shared" si="14"/>
        <v>15900</v>
      </c>
      <c r="F60" s="26"/>
      <c r="G60" s="27"/>
      <c r="H60" s="27">
        <v>15900</v>
      </c>
      <c r="I60" s="28"/>
      <c r="J60" s="27"/>
      <c r="K60" s="27"/>
      <c r="L60" s="39"/>
      <c r="M60" s="31"/>
      <c r="N60" s="27"/>
      <c r="O60" s="27"/>
      <c r="P60" s="27"/>
      <c r="Q60" s="27"/>
      <c r="R60" s="27"/>
      <c r="S60" s="32"/>
      <c r="T60" s="33">
        <f t="shared" si="3"/>
        <v>15900</v>
      </c>
      <c r="U60" s="27"/>
      <c r="V60" s="34">
        <f t="shared" si="4"/>
        <v>15900</v>
      </c>
      <c r="W60" s="41"/>
      <c r="X60" s="27"/>
      <c r="Y60" s="27"/>
      <c r="Z60" s="36">
        <f t="shared" si="6"/>
        <v>0</v>
      </c>
      <c r="AA60" s="37"/>
    </row>
    <row r="61" spans="1:27" s="38" customFormat="1" x14ac:dyDescent="0.25">
      <c r="A61" s="21" t="s">
        <v>34</v>
      </c>
      <c r="B61" s="22" t="s">
        <v>58</v>
      </c>
      <c r="C61" s="23">
        <v>247</v>
      </c>
      <c r="D61" s="24">
        <v>223</v>
      </c>
      <c r="E61" s="25">
        <f t="shared" si="14"/>
        <v>8500</v>
      </c>
      <c r="F61" s="26"/>
      <c r="G61" s="27"/>
      <c r="H61" s="27">
        <v>8500</v>
      </c>
      <c r="I61" s="28"/>
      <c r="J61" s="27"/>
      <c r="K61" s="27"/>
      <c r="L61" s="39"/>
      <c r="M61" s="31"/>
      <c r="N61" s="27"/>
      <c r="O61" s="27"/>
      <c r="P61" s="27"/>
      <c r="Q61" s="27"/>
      <c r="R61" s="27"/>
      <c r="S61" s="32"/>
      <c r="T61" s="33">
        <f t="shared" si="3"/>
        <v>8500</v>
      </c>
      <c r="U61" s="27"/>
      <c r="V61" s="34">
        <f t="shared" si="4"/>
        <v>8500</v>
      </c>
      <c r="W61" s="41"/>
      <c r="X61" s="27"/>
      <c r="Y61" s="27"/>
      <c r="Z61" s="36">
        <f t="shared" si="6"/>
        <v>0</v>
      </c>
      <c r="AA61" s="37"/>
    </row>
    <row r="62" spans="1:27" s="38" customFormat="1" x14ac:dyDescent="0.25">
      <c r="A62" s="21" t="s">
        <v>35</v>
      </c>
      <c r="B62" s="22" t="s">
        <v>56</v>
      </c>
      <c r="C62" s="23">
        <v>247</v>
      </c>
      <c r="D62" s="24">
        <v>223</v>
      </c>
      <c r="E62" s="25">
        <f t="shared" si="14"/>
        <v>323800</v>
      </c>
      <c r="F62" s="26"/>
      <c r="G62" s="27"/>
      <c r="H62" s="27">
        <v>323800</v>
      </c>
      <c r="I62" s="28"/>
      <c r="J62" s="27"/>
      <c r="K62" s="27"/>
      <c r="L62" s="39"/>
      <c r="M62" s="31"/>
      <c r="N62" s="27"/>
      <c r="O62" s="27"/>
      <c r="P62" s="27"/>
      <c r="Q62" s="27"/>
      <c r="R62" s="27"/>
      <c r="S62" s="32"/>
      <c r="T62" s="33">
        <f t="shared" si="3"/>
        <v>323800</v>
      </c>
      <c r="U62" s="27"/>
      <c r="V62" s="34">
        <f t="shared" si="4"/>
        <v>323800</v>
      </c>
      <c r="W62" s="41"/>
      <c r="X62" s="27"/>
      <c r="Y62" s="27"/>
      <c r="Z62" s="36">
        <f t="shared" si="6"/>
        <v>0</v>
      </c>
      <c r="AA62" s="37"/>
    </row>
    <row r="63" spans="1:27" s="38" customFormat="1" x14ac:dyDescent="0.25">
      <c r="A63" s="21" t="s">
        <v>35</v>
      </c>
      <c r="B63" s="22" t="s">
        <v>58</v>
      </c>
      <c r="C63" s="23">
        <v>247</v>
      </c>
      <c r="D63" s="24">
        <v>223</v>
      </c>
      <c r="E63" s="25">
        <f>H63+L63</f>
        <v>185200</v>
      </c>
      <c r="F63" s="26"/>
      <c r="G63" s="27"/>
      <c r="H63" s="27">
        <v>185200</v>
      </c>
      <c r="I63" s="28"/>
      <c r="J63" s="27"/>
      <c r="K63" s="27"/>
      <c r="L63" s="39"/>
      <c r="M63" s="31"/>
      <c r="N63" s="27"/>
      <c r="O63" s="27"/>
      <c r="P63" s="27"/>
      <c r="Q63" s="27"/>
      <c r="R63" s="27"/>
      <c r="S63" s="32"/>
      <c r="T63" s="33">
        <f t="shared" si="3"/>
        <v>185200</v>
      </c>
      <c r="U63" s="27"/>
      <c r="V63" s="34">
        <f t="shared" si="4"/>
        <v>185200</v>
      </c>
      <c r="W63" s="41"/>
      <c r="X63" s="27"/>
      <c r="Y63" s="27"/>
      <c r="Z63" s="36">
        <f t="shared" si="6"/>
        <v>0</v>
      </c>
      <c r="AA63" s="37"/>
    </row>
    <row r="64" spans="1:27" s="50" customFormat="1" x14ac:dyDescent="0.25">
      <c r="A64" s="62" t="s">
        <v>36</v>
      </c>
      <c r="B64" s="63"/>
      <c r="C64" s="64"/>
      <c r="D64" s="65"/>
      <c r="E64" s="45">
        <f>E56+E58+E60+E62+E57+E59+E61+E63</f>
        <v>1726824.92</v>
      </c>
      <c r="F64" s="45">
        <f t="shared" ref="F64:G64" si="15">F56+F58+F60+F62+F57+F59+F61+F63</f>
        <v>0</v>
      </c>
      <c r="G64" s="45">
        <f t="shared" si="15"/>
        <v>0</v>
      </c>
      <c r="H64" s="45">
        <f>H56+H58+H60+H62+H57+H59+H61+H63</f>
        <v>1425300</v>
      </c>
      <c r="I64" s="28"/>
      <c r="J64" s="45">
        <f t="shared" ref="J64:K64" si="16">J56+J58+J60+J62+J57+J59+J61+J63</f>
        <v>0</v>
      </c>
      <c r="K64" s="45">
        <f t="shared" si="16"/>
        <v>0</v>
      </c>
      <c r="L64" s="45">
        <f>L56+L58+L60+L62+L57+L59+L61+L63</f>
        <v>301524.92</v>
      </c>
      <c r="M64" s="31"/>
      <c r="N64" s="29"/>
      <c r="O64" s="29"/>
      <c r="P64" s="29"/>
      <c r="Q64" s="29"/>
      <c r="R64" s="29"/>
      <c r="S64" s="72"/>
      <c r="T64" s="54">
        <f t="shared" si="3"/>
        <v>1726824.92</v>
      </c>
      <c r="U64" s="29"/>
      <c r="V64" s="66">
        <f t="shared" si="4"/>
        <v>1425300</v>
      </c>
      <c r="W64" s="40"/>
      <c r="X64" s="29"/>
      <c r="Y64" s="29"/>
      <c r="Z64" s="69">
        <f t="shared" si="6"/>
        <v>301524.92</v>
      </c>
      <c r="AA64" s="71"/>
    </row>
    <row r="65" spans="1:35" s="38" customFormat="1" x14ac:dyDescent="0.25">
      <c r="A65" s="21" t="s">
        <v>87</v>
      </c>
      <c r="B65" s="22" t="s">
        <v>59</v>
      </c>
      <c r="C65" s="23">
        <v>244</v>
      </c>
      <c r="D65" s="24">
        <v>225</v>
      </c>
      <c r="E65" s="25">
        <f>H65+K65+L65+G65</f>
        <v>9565.18</v>
      </c>
      <c r="F65" s="31"/>
      <c r="G65" s="26"/>
      <c r="H65" s="26">
        <f>8382.56+161.77</f>
        <v>8544.33</v>
      </c>
      <c r="I65" s="28"/>
      <c r="J65" s="26"/>
      <c r="K65" s="26"/>
      <c r="L65" s="46">
        <v>1020.85</v>
      </c>
      <c r="M65" s="31"/>
      <c r="N65" s="27"/>
      <c r="O65" s="27"/>
      <c r="P65" s="27"/>
      <c r="Q65" s="27"/>
      <c r="R65" s="27"/>
      <c r="S65" s="32"/>
      <c r="T65" s="33">
        <f t="shared" si="3"/>
        <v>9565.18</v>
      </c>
      <c r="U65" s="27"/>
      <c r="V65" s="34">
        <f t="shared" si="4"/>
        <v>8544.33</v>
      </c>
      <c r="W65" s="40"/>
      <c r="X65" s="29"/>
      <c r="Y65" s="29"/>
      <c r="Z65" s="36">
        <f t="shared" si="6"/>
        <v>1020.85</v>
      </c>
      <c r="AA65" s="37"/>
    </row>
    <row r="66" spans="1:35" s="38" customFormat="1" x14ac:dyDescent="0.25">
      <c r="A66" s="21" t="s">
        <v>64</v>
      </c>
      <c r="B66" s="22" t="s">
        <v>58</v>
      </c>
      <c r="C66" s="23">
        <v>244</v>
      </c>
      <c r="D66" s="24">
        <v>225</v>
      </c>
      <c r="E66" s="25">
        <f t="shared" ref="E66:E92" si="17">H66+K66+L66</f>
        <v>3725</v>
      </c>
      <c r="F66" s="26"/>
      <c r="G66" s="27"/>
      <c r="H66" s="27">
        <v>3725</v>
      </c>
      <c r="I66" s="28"/>
      <c r="J66" s="29"/>
      <c r="K66" s="29"/>
      <c r="L66" s="30"/>
      <c r="M66" s="31"/>
      <c r="N66" s="27"/>
      <c r="O66" s="27"/>
      <c r="P66" s="27"/>
      <c r="Q66" s="27"/>
      <c r="R66" s="27"/>
      <c r="S66" s="32"/>
      <c r="T66" s="33">
        <f t="shared" si="3"/>
        <v>3725</v>
      </c>
      <c r="U66" s="27"/>
      <c r="V66" s="34">
        <f t="shared" si="4"/>
        <v>3725</v>
      </c>
      <c r="W66" s="40"/>
      <c r="X66" s="29"/>
      <c r="Y66" s="29"/>
      <c r="Z66" s="36">
        <f t="shared" si="6"/>
        <v>0</v>
      </c>
      <c r="AA66" s="37"/>
      <c r="AB66" s="42"/>
      <c r="AC66" s="42"/>
      <c r="AD66" s="42"/>
      <c r="AE66" s="42"/>
      <c r="AF66" s="42"/>
      <c r="AG66" s="42"/>
      <c r="AH66" s="42"/>
      <c r="AI66" s="42"/>
    </row>
    <row r="67" spans="1:35" s="38" customFormat="1" x14ac:dyDescent="0.25">
      <c r="A67" s="21" t="s">
        <v>65</v>
      </c>
      <c r="B67" s="22" t="s">
        <v>58</v>
      </c>
      <c r="C67" s="23">
        <v>244</v>
      </c>
      <c r="D67" s="24">
        <v>225</v>
      </c>
      <c r="E67" s="25">
        <f t="shared" si="17"/>
        <v>20700</v>
      </c>
      <c r="F67" s="26"/>
      <c r="G67" s="27"/>
      <c r="H67" s="27">
        <v>20700</v>
      </c>
      <c r="I67" s="28"/>
      <c r="J67" s="29"/>
      <c r="K67" s="29"/>
      <c r="L67" s="30"/>
      <c r="M67" s="31"/>
      <c r="N67" s="27"/>
      <c r="O67" s="27"/>
      <c r="P67" s="27"/>
      <c r="Q67" s="27"/>
      <c r="R67" s="27"/>
      <c r="S67" s="32"/>
      <c r="T67" s="33">
        <f t="shared" si="3"/>
        <v>20700</v>
      </c>
      <c r="U67" s="27"/>
      <c r="V67" s="34">
        <f t="shared" si="4"/>
        <v>20700</v>
      </c>
      <c r="W67" s="40"/>
      <c r="X67" s="29"/>
      <c r="Y67" s="29"/>
      <c r="Z67" s="36">
        <f t="shared" si="6"/>
        <v>0</v>
      </c>
      <c r="AA67" s="37"/>
      <c r="AB67" s="42"/>
      <c r="AC67" s="42"/>
      <c r="AD67" s="42"/>
      <c r="AE67" s="42"/>
      <c r="AF67" s="42"/>
      <c r="AG67" s="42"/>
      <c r="AH67" s="42"/>
      <c r="AI67" s="42"/>
    </row>
    <row r="68" spans="1:35" s="38" customFormat="1" ht="38.25" x14ac:dyDescent="0.25">
      <c r="A68" s="21" t="s">
        <v>66</v>
      </c>
      <c r="B68" s="22" t="s">
        <v>58</v>
      </c>
      <c r="C68" s="23">
        <v>244</v>
      </c>
      <c r="D68" s="24">
        <v>225</v>
      </c>
      <c r="E68" s="25">
        <f t="shared" si="17"/>
        <v>45600</v>
      </c>
      <c r="F68" s="26"/>
      <c r="G68" s="27"/>
      <c r="H68" s="27">
        <v>45600</v>
      </c>
      <c r="I68" s="28"/>
      <c r="J68" s="29"/>
      <c r="K68" s="29"/>
      <c r="L68" s="30"/>
      <c r="M68" s="31"/>
      <c r="N68" s="27"/>
      <c r="O68" s="27"/>
      <c r="P68" s="27"/>
      <c r="Q68" s="27"/>
      <c r="R68" s="27"/>
      <c r="S68" s="32"/>
      <c r="T68" s="33">
        <f t="shared" si="3"/>
        <v>45600</v>
      </c>
      <c r="U68" s="27"/>
      <c r="V68" s="34">
        <f t="shared" si="4"/>
        <v>45600</v>
      </c>
      <c r="W68" s="40"/>
      <c r="X68" s="29"/>
      <c r="Y68" s="29"/>
      <c r="Z68" s="36">
        <f t="shared" si="6"/>
        <v>0</v>
      </c>
      <c r="AA68" s="37"/>
      <c r="AB68" s="42"/>
      <c r="AC68" s="42"/>
      <c r="AD68" s="42"/>
      <c r="AE68" s="42"/>
      <c r="AF68" s="42"/>
      <c r="AG68" s="42"/>
      <c r="AH68" s="42"/>
      <c r="AI68" s="42"/>
    </row>
    <row r="69" spans="1:35" s="38" customFormat="1" x14ac:dyDescent="0.25">
      <c r="A69" s="21" t="s">
        <v>67</v>
      </c>
      <c r="B69" s="22" t="s">
        <v>58</v>
      </c>
      <c r="C69" s="23">
        <v>244</v>
      </c>
      <c r="D69" s="24">
        <v>225</v>
      </c>
      <c r="E69" s="25">
        <f t="shared" si="17"/>
        <v>56064</v>
      </c>
      <c r="F69" s="26"/>
      <c r="G69" s="27"/>
      <c r="H69" s="27">
        <v>56064</v>
      </c>
      <c r="I69" s="28"/>
      <c r="J69" s="29"/>
      <c r="K69" s="29"/>
      <c r="L69" s="30"/>
      <c r="M69" s="31"/>
      <c r="N69" s="27"/>
      <c r="O69" s="27"/>
      <c r="P69" s="27"/>
      <c r="Q69" s="27"/>
      <c r="R69" s="27"/>
      <c r="S69" s="32"/>
      <c r="T69" s="33">
        <f t="shared" si="3"/>
        <v>56064</v>
      </c>
      <c r="U69" s="27"/>
      <c r="V69" s="34">
        <f t="shared" si="4"/>
        <v>56064</v>
      </c>
      <c r="W69" s="40"/>
      <c r="X69" s="29"/>
      <c r="Y69" s="29"/>
      <c r="Z69" s="36">
        <f t="shared" si="6"/>
        <v>0</v>
      </c>
      <c r="AA69" s="37"/>
      <c r="AB69" s="42"/>
      <c r="AC69" s="42"/>
      <c r="AD69" s="42"/>
      <c r="AE69" s="42"/>
      <c r="AF69" s="42"/>
      <c r="AG69" s="42"/>
      <c r="AH69" s="42"/>
      <c r="AI69" s="42"/>
    </row>
    <row r="70" spans="1:35" s="38" customFormat="1" ht="25.5" x14ac:dyDescent="0.25">
      <c r="A70" s="21" t="s">
        <v>68</v>
      </c>
      <c r="B70" s="22" t="s">
        <v>58</v>
      </c>
      <c r="C70" s="23">
        <v>244</v>
      </c>
      <c r="D70" s="24">
        <v>225</v>
      </c>
      <c r="E70" s="25">
        <f t="shared" si="17"/>
        <v>15000</v>
      </c>
      <c r="F70" s="26"/>
      <c r="G70" s="27"/>
      <c r="H70" s="27">
        <v>15000</v>
      </c>
      <c r="I70" s="28"/>
      <c r="J70" s="29"/>
      <c r="K70" s="29"/>
      <c r="L70" s="30"/>
      <c r="M70" s="31"/>
      <c r="N70" s="27"/>
      <c r="O70" s="27"/>
      <c r="P70" s="27"/>
      <c r="Q70" s="27"/>
      <c r="R70" s="27"/>
      <c r="S70" s="32"/>
      <c r="T70" s="33">
        <f t="shared" si="3"/>
        <v>15000</v>
      </c>
      <c r="U70" s="27"/>
      <c r="V70" s="34">
        <f t="shared" si="4"/>
        <v>15000</v>
      </c>
      <c r="W70" s="40"/>
      <c r="X70" s="29"/>
      <c r="Y70" s="29"/>
      <c r="Z70" s="36">
        <f t="shared" si="6"/>
        <v>0</v>
      </c>
      <c r="AA70" s="37"/>
      <c r="AB70" s="42"/>
      <c r="AC70" s="42"/>
      <c r="AD70" s="42"/>
      <c r="AE70" s="42"/>
      <c r="AF70" s="42"/>
      <c r="AG70" s="42"/>
      <c r="AH70" s="42"/>
      <c r="AI70" s="42"/>
    </row>
    <row r="71" spans="1:35" s="38" customFormat="1" x14ac:dyDescent="0.25">
      <c r="A71" s="21" t="s">
        <v>69</v>
      </c>
      <c r="B71" s="22" t="s">
        <v>58</v>
      </c>
      <c r="C71" s="23">
        <v>244</v>
      </c>
      <c r="D71" s="24">
        <v>225</v>
      </c>
      <c r="E71" s="25">
        <f t="shared" si="17"/>
        <v>23856</v>
      </c>
      <c r="F71" s="26"/>
      <c r="G71" s="27"/>
      <c r="H71" s="27">
        <v>23856</v>
      </c>
      <c r="I71" s="28"/>
      <c r="J71" s="29"/>
      <c r="K71" s="29"/>
      <c r="L71" s="30"/>
      <c r="M71" s="31"/>
      <c r="N71" s="27"/>
      <c r="O71" s="27"/>
      <c r="P71" s="27"/>
      <c r="Q71" s="27"/>
      <c r="R71" s="27"/>
      <c r="S71" s="32"/>
      <c r="T71" s="33">
        <f t="shared" si="3"/>
        <v>23856</v>
      </c>
      <c r="U71" s="27"/>
      <c r="V71" s="34">
        <f t="shared" si="4"/>
        <v>23856</v>
      </c>
      <c r="W71" s="40"/>
      <c r="X71" s="29"/>
      <c r="Y71" s="29"/>
      <c r="Z71" s="36">
        <f t="shared" si="6"/>
        <v>0</v>
      </c>
      <c r="AA71" s="37"/>
      <c r="AB71" s="42"/>
      <c r="AC71" s="42"/>
      <c r="AD71" s="42"/>
      <c r="AE71" s="42"/>
      <c r="AF71" s="42"/>
      <c r="AG71" s="42"/>
      <c r="AH71" s="42"/>
      <c r="AI71" s="42"/>
    </row>
    <row r="72" spans="1:35" s="38" customFormat="1" ht="25.5" x14ac:dyDescent="0.25">
      <c r="A72" s="21" t="s">
        <v>70</v>
      </c>
      <c r="B72" s="22" t="s">
        <v>58</v>
      </c>
      <c r="C72" s="23">
        <v>244</v>
      </c>
      <c r="D72" s="24">
        <v>225</v>
      </c>
      <c r="E72" s="25">
        <f>H72+K72+L72</f>
        <v>12592</v>
      </c>
      <c r="F72" s="26"/>
      <c r="G72" s="27"/>
      <c r="H72" s="27">
        <v>12592</v>
      </c>
      <c r="I72" s="28"/>
      <c r="J72" s="29"/>
      <c r="K72" s="29"/>
      <c r="L72" s="30"/>
      <c r="M72" s="31"/>
      <c r="N72" s="27"/>
      <c r="O72" s="27"/>
      <c r="P72" s="27"/>
      <c r="Q72" s="27"/>
      <c r="R72" s="27"/>
      <c r="S72" s="32"/>
      <c r="T72" s="33">
        <f t="shared" si="3"/>
        <v>12592</v>
      </c>
      <c r="U72" s="27"/>
      <c r="V72" s="34">
        <f t="shared" si="4"/>
        <v>12592</v>
      </c>
      <c r="W72" s="40"/>
      <c r="X72" s="29"/>
      <c r="Y72" s="29"/>
      <c r="Z72" s="36">
        <f t="shared" si="6"/>
        <v>0</v>
      </c>
      <c r="AA72" s="37"/>
      <c r="AB72" s="42"/>
      <c r="AC72" s="42"/>
      <c r="AD72" s="42"/>
      <c r="AE72" s="42"/>
      <c r="AF72" s="42"/>
      <c r="AG72" s="42"/>
      <c r="AH72" s="42"/>
      <c r="AI72" s="42"/>
    </row>
    <row r="73" spans="1:35" s="38" customFormat="1" x14ac:dyDescent="0.25">
      <c r="A73" s="21" t="s">
        <v>71</v>
      </c>
      <c r="B73" s="22" t="s">
        <v>58</v>
      </c>
      <c r="C73" s="23">
        <v>244</v>
      </c>
      <c r="D73" s="24">
        <v>225</v>
      </c>
      <c r="E73" s="25">
        <f t="shared" si="17"/>
        <v>2592</v>
      </c>
      <c r="F73" s="26"/>
      <c r="G73" s="27"/>
      <c r="H73" s="27">
        <v>2592</v>
      </c>
      <c r="I73" s="28"/>
      <c r="J73" s="29"/>
      <c r="K73" s="29"/>
      <c r="L73" s="30"/>
      <c r="M73" s="31"/>
      <c r="N73" s="27"/>
      <c r="O73" s="27"/>
      <c r="P73" s="27"/>
      <c r="Q73" s="27"/>
      <c r="R73" s="27"/>
      <c r="S73" s="32"/>
      <c r="T73" s="33">
        <f t="shared" si="3"/>
        <v>2592</v>
      </c>
      <c r="U73" s="27"/>
      <c r="V73" s="34">
        <f t="shared" si="4"/>
        <v>2592</v>
      </c>
      <c r="W73" s="40"/>
      <c r="X73" s="29"/>
      <c r="Y73" s="29"/>
      <c r="Z73" s="36">
        <f t="shared" si="6"/>
        <v>0</v>
      </c>
      <c r="AA73" s="37"/>
      <c r="AB73" s="42"/>
      <c r="AC73" s="42"/>
      <c r="AD73" s="42"/>
      <c r="AE73" s="42"/>
      <c r="AF73" s="42"/>
      <c r="AG73" s="42"/>
      <c r="AH73" s="42"/>
      <c r="AI73" s="42"/>
    </row>
    <row r="74" spans="1:35" s="38" customFormat="1" x14ac:dyDescent="0.25">
      <c r="A74" s="21" t="s">
        <v>72</v>
      </c>
      <c r="B74" s="22" t="s">
        <v>58</v>
      </c>
      <c r="C74" s="23">
        <v>244</v>
      </c>
      <c r="D74" s="24">
        <v>225</v>
      </c>
      <c r="E74" s="25">
        <f t="shared" si="17"/>
        <v>1940</v>
      </c>
      <c r="F74" s="26"/>
      <c r="G74" s="27"/>
      <c r="H74" s="27">
        <v>1940</v>
      </c>
      <c r="I74" s="28"/>
      <c r="J74" s="29"/>
      <c r="K74" s="29"/>
      <c r="L74" s="30"/>
      <c r="M74" s="31"/>
      <c r="N74" s="27"/>
      <c r="O74" s="27"/>
      <c r="P74" s="27"/>
      <c r="Q74" s="27"/>
      <c r="R74" s="27"/>
      <c r="S74" s="32"/>
      <c r="T74" s="33">
        <f t="shared" si="3"/>
        <v>1940</v>
      </c>
      <c r="U74" s="27"/>
      <c r="V74" s="34">
        <f t="shared" si="4"/>
        <v>1940</v>
      </c>
      <c r="W74" s="40"/>
      <c r="X74" s="29"/>
      <c r="Y74" s="29"/>
      <c r="Z74" s="36">
        <f t="shared" si="6"/>
        <v>0</v>
      </c>
      <c r="AA74" s="37"/>
      <c r="AB74" s="42"/>
      <c r="AC74" s="42"/>
      <c r="AD74" s="42"/>
      <c r="AE74" s="42"/>
      <c r="AF74" s="42"/>
      <c r="AG74" s="42"/>
      <c r="AH74" s="42"/>
      <c r="AI74" s="42"/>
    </row>
    <row r="75" spans="1:35" s="38" customFormat="1" ht="42" customHeight="1" x14ac:dyDescent="0.25">
      <c r="A75" s="21" t="s">
        <v>73</v>
      </c>
      <c r="B75" s="22" t="s">
        <v>58</v>
      </c>
      <c r="C75" s="23">
        <v>244</v>
      </c>
      <c r="D75" s="24">
        <v>225</v>
      </c>
      <c r="E75" s="25">
        <f t="shared" si="17"/>
        <v>16390.959999999992</v>
      </c>
      <c r="F75" s="26"/>
      <c r="G75" s="27"/>
      <c r="H75" s="27">
        <f>198459.96-H66-H67-H68-H69-H70-H71-H72-H73-H74</f>
        <v>16390.959999999992</v>
      </c>
      <c r="I75" s="28"/>
      <c r="J75" s="29"/>
      <c r="K75" s="29"/>
      <c r="L75" s="30"/>
      <c r="M75" s="31"/>
      <c r="N75" s="27"/>
      <c r="O75" s="27"/>
      <c r="P75" s="27"/>
      <c r="Q75" s="27"/>
      <c r="R75" s="27"/>
      <c r="S75" s="32"/>
      <c r="T75" s="33">
        <f t="shared" si="3"/>
        <v>16390.959999999992</v>
      </c>
      <c r="U75" s="27"/>
      <c r="V75" s="34">
        <f t="shared" si="4"/>
        <v>16390.959999999992</v>
      </c>
      <c r="W75" s="40"/>
      <c r="X75" s="29"/>
      <c r="Y75" s="29"/>
      <c r="Z75" s="36">
        <f t="shared" si="6"/>
        <v>0</v>
      </c>
      <c r="AA75" s="37"/>
      <c r="AB75" s="42"/>
      <c r="AC75" s="42"/>
      <c r="AD75" s="42"/>
      <c r="AE75" s="42"/>
      <c r="AF75" s="42"/>
      <c r="AG75" s="42"/>
      <c r="AH75" s="42"/>
      <c r="AI75" s="42"/>
    </row>
    <row r="76" spans="1:35" s="38" customFormat="1" ht="21.75" customHeight="1" x14ac:dyDescent="0.25">
      <c r="A76" s="21" t="s">
        <v>65</v>
      </c>
      <c r="B76" s="22" t="s">
        <v>56</v>
      </c>
      <c r="C76" s="23">
        <v>244</v>
      </c>
      <c r="D76" s="24">
        <v>225</v>
      </c>
      <c r="E76" s="25">
        <f t="shared" si="17"/>
        <v>9000</v>
      </c>
      <c r="F76" s="26"/>
      <c r="G76" s="27"/>
      <c r="H76" s="27">
        <v>9000</v>
      </c>
      <c r="I76" s="28"/>
      <c r="J76" s="29"/>
      <c r="K76" s="29"/>
      <c r="L76" s="30"/>
      <c r="M76" s="31"/>
      <c r="N76" s="27"/>
      <c r="O76" s="27"/>
      <c r="P76" s="27"/>
      <c r="Q76" s="27"/>
      <c r="R76" s="27"/>
      <c r="S76" s="32"/>
      <c r="T76" s="33">
        <f t="shared" si="3"/>
        <v>9000</v>
      </c>
      <c r="U76" s="27"/>
      <c r="V76" s="34">
        <f t="shared" si="4"/>
        <v>9000</v>
      </c>
      <c r="W76" s="40"/>
      <c r="X76" s="29"/>
      <c r="Y76" s="29"/>
      <c r="Z76" s="36">
        <f t="shared" si="6"/>
        <v>0</v>
      </c>
      <c r="AA76" s="37"/>
      <c r="AB76" s="42"/>
      <c r="AC76" s="42"/>
      <c r="AD76" s="42"/>
      <c r="AE76" s="42"/>
      <c r="AF76" s="42"/>
      <c r="AG76" s="42"/>
      <c r="AH76" s="42"/>
      <c r="AI76" s="42"/>
    </row>
    <row r="77" spans="1:35" s="38" customFormat="1" ht="25.5" customHeight="1" x14ac:dyDescent="0.25">
      <c r="A77" s="21" t="s">
        <v>67</v>
      </c>
      <c r="B77" s="22" t="s">
        <v>56</v>
      </c>
      <c r="C77" s="23">
        <v>244</v>
      </c>
      <c r="D77" s="24">
        <v>225</v>
      </c>
      <c r="E77" s="25">
        <f t="shared" si="17"/>
        <v>36396</v>
      </c>
      <c r="F77" s="26"/>
      <c r="G77" s="27"/>
      <c r="H77" s="27">
        <f>36396</f>
        <v>36396</v>
      </c>
      <c r="I77" s="28"/>
      <c r="J77" s="29"/>
      <c r="K77" s="29"/>
      <c r="L77" s="30"/>
      <c r="M77" s="31"/>
      <c r="N77" s="27"/>
      <c r="O77" s="27"/>
      <c r="P77" s="27"/>
      <c r="Q77" s="27"/>
      <c r="R77" s="27"/>
      <c r="S77" s="32"/>
      <c r="T77" s="33">
        <f t="shared" si="3"/>
        <v>36396</v>
      </c>
      <c r="U77" s="27"/>
      <c r="V77" s="34">
        <f t="shared" si="4"/>
        <v>36396</v>
      </c>
      <c r="W77" s="40"/>
      <c r="X77" s="29"/>
      <c r="Y77" s="29"/>
      <c r="Z77" s="36">
        <f t="shared" si="6"/>
        <v>0</v>
      </c>
      <c r="AA77" s="37"/>
      <c r="AB77" s="42"/>
      <c r="AC77" s="42"/>
      <c r="AD77" s="42"/>
      <c r="AE77" s="42"/>
      <c r="AF77" s="42"/>
      <c r="AG77" s="42"/>
      <c r="AH77" s="42"/>
      <c r="AI77" s="42"/>
    </row>
    <row r="78" spans="1:35" s="38" customFormat="1" ht="27.75" customHeight="1" x14ac:dyDescent="0.25">
      <c r="A78" s="21" t="s">
        <v>104</v>
      </c>
      <c r="B78" s="22" t="s">
        <v>56</v>
      </c>
      <c r="C78" s="23">
        <v>244</v>
      </c>
      <c r="D78" s="24">
        <v>225</v>
      </c>
      <c r="E78" s="25">
        <f t="shared" si="17"/>
        <v>750</v>
      </c>
      <c r="F78" s="26"/>
      <c r="G78" s="27"/>
      <c r="H78" s="27">
        <v>750</v>
      </c>
      <c r="I78" s="28"/>
      <c r="J78" s="29"/>
      <c r="K78" s="29"/>
      <c r="L78" s="30"/>
      <c r="M78" s="31"/>
      <c r="N78" s="27"/>
      <c r="O78" s="27"/>
      <c r="P78" s="27"/>
      <c r="Q78" s="27"/>
      <c r="R78" s="27"/>
      <c r="S78" s="32"/>
      <c r="T78" s="33">
        <f t="shared" ref="T78:T146" si="18">E78</f>
        <v>750</v>
      </c>
      <c r="U78" s="27"/>
      <c r="V78" s="34">
        <f t="shared" ref="V78:V146" si="19">H78</f>
        <v>750</v>
      </c>
      <c r="W78" s="40"/>
      <c r="X78" s="29"/>
      <c r="Y78" s="29"/>
      <c r="Z78" s="36">
        <f t="shared" si="6"/>
        <v>0</v>
      </c>
      <c r="AA78" s="37"/>
      <c r="AB78" s="42"/>
      <c r="AC78" s="42"/>
      <c r="AD78" s="42"/>
      <c r="AE78" s="42"/>
      <c r="AF78" s="42"/>
      <c r="AG78" s="42"/>
      <c r="AH78" s="42"/>
      <c r="AI78" s="42"/>
    </row>
    <row r="79" spans="1:35" s="38" customFormat="1" ht="27.75" customHeight="1" x14ac:dyDescent="0.25">
      <c r="A79" s="21" t="s">
        <v>112</v>
      </c>
      <c r="B79" s="22" t="s">
        <v>56</v>
      </c>
      <c r="C79" s="23">
        <v>244</v>
      </c>
      <c r="D79" s="24">
        <v>225</v>
      </c>
      <c r="E79" s="25">
        <f t="shared" ref="E79" si="20">H79+K79+L79</f>
        <v>52000</v>
      </c>
      <c r="F79" s="26"/>
      <c r="G79" s="27"/>
      <c r="H79" s="27">
        <f>52000</f>
        <v>52000</v>
      </c>
      <c r="I79" s="28"/>
      <c r="J79" s="29"/>
      <c r="K79" s="29"/>
      <c r="L79" s="30"/>
      <c r="M79" s="31"/>
      <c r="N79" s="27"/>
      <c r="O79" s="27"/>
      <c r="P79" s="27"/>
      <c r="Q79" s="27"/>
      <c r="R79" s="27"/>
      <c r="S79" s="32"/>
      <c r="T79" s="33">
        <f t="shared" ref="T79" si="21">E79</f>
        <v>52000</v>
      </c>
      <c r="U79" s="27"/>
      <c r="V79" s="34">
        <f t="shared" ref="V79" si="22">H79</f>
        <v>52000</v>
      </c>
      <c r="W79" s="40"/>
      <c r="X79" s="29"/>
      <c r="Y79" s="29"/>
      <c r="Z79" s="36">
        <f t="shared" ref="Z79" si="23">L79</f>
        <v>0</v>
      </c>
      <c r="AA79" s="37"/>
      <c r="AB79" s="42"/>
      <c r="AC79" s="42"/>
      <c r="AD79" s="42"/>
      <c r="AE79" s="42"/>
      <c r="AF79" s="42"/>
      <c r="AG79" s="42"/>
      <c r="AH79" s="42"/>
      <c r="AI79" s="42"/>
    </row>
    <row r="80" spans="1:35" s="38" customFormat="1" ht="18.75" customHeight="1" x14ac:dyDescent="0.25">
      <c r="A80" s="21" t="s">
        <v>115</v>
      </c>
      <c r="B80" s="22" t="s">
        <v>56</v>
      </c>
      <c r="C80" s="23">
        <v>244</v>
      </c>
      <c r="D80" s="24">
        <v>225</v>
      </c>
      <c r="E80" s="25">
        <f t="shared" ref="E80:E81" si="24">H80+K80+L80</f>
        <v>34000</v>
      </c>
      <c r="F80" s="26"/>
      <c r="G80" s="27"/>
      <c r="H80" s="27">
        <f>34000</f>
        <v>34000</v>
      </c>
      <c r="I80" s="28"/>
      <c r="J80" s="29"/>
      <c r="K80" s="29"/>
      <c r="L80" s="30"/>
      <c r="M80" s="31"/>
      <c r="N80" s="27"/>
      <c r="O80" s="27"/>
      <c r="P80" s="27"/>
      <c r="Q80" s="27"/>
      <c r="R80" s="27"/>
      <c r="S80" s="32"/>
      <c r="T80" s="33">
        <f t="shared" ref="T80:T81" si="25">E80</f>
        <v>34000</v>
      </c>
      <c r="U80" s="27"/>
      <c r="V80" s="34">
        <f t="shared" ref="V80:V81" si="26">H80</f>
        <v>34000</v>
      </c>
      <c r="W80" s="40"/>
      <c r="X80" s="29"/>
      <c r="Y80" s="29"/>
      <c r="Z80" s="36">
        <f t="shared" ref="Z80:Z81" si="27">L80</f>
        <v>0</v>
      </c>
      <c r="AA80" s="37"/>
      <c r="AB80" s="42"/>
      <c r="AC80" s="42"/>
      <c r="AD80" s="42"/>
      <c r="AE80" s="42"/>
      <c r="AF80" s="42"/>
      <c r="AG80" s="42"/>
      <c r="AH80" s="42"/>
      <c r="AI80" s="42"/>
    </row>
    <row r="81" spans="1:35" s="38" customFormat="1" ht="22.5" customHeight="1" x14ac:dyDescent="0.25">
      <c r="A81" s="21" t="s">
        <v>118</v>
      </c>
      <c r="B81" s="22" t="s">
        <v>56</v>
      </c>
      <c r="C81" s="23">
        <v>244</v>
      </c>
      <c r="D81" s="24">
        <v>225</v>
      </c>
      <c r="E81" s="25">
        <f t="shared" si="24"/>
        <v>35378</v>
      </c>
      <c r="F81" s="26"/>
      <c r="G81" s="27"/>
      <c r="H81" s="27">
        <f>20100+45278-30000</f>
        <v>35378</v>
      </c>
      <c r="I81" s="28"/>
      <c r="J81" s="29"/>
      <c r="K81" s="29"/>
      <c r="L81" s="30"/>
      <c r="M81" s="31"/>
      <c r="N81" s="27"/>
      <c r="O81" s="27"/>
      <c r="P81" s="27"/>
      <c r="Q81" s="27"/>
      <c r="R81" s="27"/>
      <c r="S81" s="32"/>
      <c r="T81" s="33">
        <f t="shared" si="25"/>
        <v>35378</v>
      </c>
      <c r="U81" s="27"/>
      <c r="V81" s="34">
        <f t="shared" si="26"/>
        <v>35378</v>
      </c>
      <c r="W81" s="40"/>
      <c r="X81" s="29"/>
      <c r="Y81" s="29"/>
      <c r="Z81" s="36">
        <f t="shared" si="27"/>
        <v>0</v>
      </c>
      <c r="AA81" s="37"/>
      <c r="AB81" s="42"/>
      <c r="AC81" s="42"/>
      <c r="AD81" s="42"/>
      <c r="AE81" s="42"/>
      <c r="AF81" s="42"/>
      <c r="AG81" s="42"/>
      <c r="AH81" s="42"/>
      <c r="AI81" s="42"/>
    </row>
    <row r="82" spans="1:35" s="38" customFormat="1" ht="27" customHeight="1" x14ac:dyDescent="0.25">
      <c r="A82" s="21" t="s">
        <v>71</v>
      </c>
      <c r="B82" s="22" t="s">
        <v>56</v>
      </c>
      <c r="C82" s="23">
        <v>244</v>
      </c>
      <c r="D82" s="24">
        <v>225</v>
      </c>
      <c r="E82" s="25">
        <f t="shared" si="17"/>
        <v>31140</v>
      </c>
      <c r="F82" s="26"/>
      <c r="G82" s="27"/>
      <c r="H82" s="27">
        <v>31140</v>
      </c>
      <c r="I82" s="28"/>
      <c r="J82" s="29"/>
      <c r="K82" s="29"/>
      <c r="L82" s="30"/>
      <c r="M82" s="31"/>
      <c r="N82" s="27"/>
      <c r="O82" s="27"/>
      <c r="P82" s="27"/>
      <c r="Q82" s="27"/>
      <c r="R82" s="27"/>
      <c r="S82" s="32"/>
      <c r="T82" s="33">
        <f t="shared" si="18"/>
        <v>31140</v>
      </c>
      <c r="U82" s="27"/>
      <c r="V82" s="34">
        <f t="shared" si="19"/>
        <v>31140</v>
      </c>
      <c r="W82" s="40"/>
      <c r="X82" s="29"/>
      <c r="Y82" s="29"/>
      <c r="Z82" s="36">
        <f t="shared" si="6"/>
        <v>0</v>
      </c>
      <c r="AA82" s="37"/>
      <c r="AB82" s="42"/>
      <c r="AC82" s="42"/>
      <c r="AD82" s="42"/>
      <c r="AE82" s="42"/>
      <c r="AF82" s="42"/>
      <c r="AG82" s="42"/>
      <c r="AH82" s="42"/>
      <c r="AI82" s="42"/>
    </row>
    <row r="83" spans="1:35" s="38" customFormat="1" ht="22.5" customHeight="1" x14ac:dyDescent="0.25">
      <c r="A83" s="21" t="s">
        <v>110</v>
      </c>
      <c r="B83" s="22" t="s">
        <v>56</v>
      </c>
      <c r="C83" s="23">
        <v>244</v>
      </c>
      <c r="D83" s="24">
        <v>225</v>
      </c>
      <c r="E83" s="25">
        <f t="shared" si="17"/>
        <v>0</v>
      </c>
      <c r="F83" s="26"/>
      <c r="G83" s="27"/>
      <c r="H83" s="27">
        <f>25000+20278-45278</f>
        <v>0</v>
      </c>
      <c r="I83" s="28"/>
      <c r="J83" s="29"/>
      <c r="K83" s="29"/>
      <c r="L83" s="30"/>
      <c r="M83" s="31"/>
      <c r="N83" s="27"/>
      <c r="O83" s="27"/>
      <c r="P83" s="27"/>
      <c r="Q83" s="27"/>
      <c r="R83" s="27"/>
      <c r="S83" s="32"/>
      <c r="T83" s="33">
        <f t="shared" si="18"/>
        <v>0</v>
      </c>
      <c r="U83" s="27"/>
      <c r="V83" s="34">
        <f t="shared" si="19"/>
        <v>0</v>
      </c>
      <c r="W83" s="40"/>
      <c r="X83" s="29"/>
      <c r="Y83" s="29"/>
      <c r="Z83" s="36">
        <f t="shared" si="6"/>
        <v>0</v>
      </c>
      <c r="AA83" s="37"/>
      <c r="AB83" s="42"/>
      <c r="AC83" s="42"/>
      <c r="AD83" s="42"/>
      <c r="AE83" s="42"/>
      <c r="AF83" s="42"/>
      <c r="AG83" s="42"/>
      <c r="AH83" s="42"/>
      <c r="AI83" s="42"/>
    </row>
    <row r="84" spans="1:35" s="38" customFormat="1" ht="22.5" customHeight="1" x14ac:dyDescent="0.25">
      <c r="A84" s="21" t="s">
        <v>71</v>
      </c>
      <c r="B84" s="22" t="s">
        <v>56</v>
      </c>
      <c r="C84" s="23">
        <v>244</v>
      </c>
      <c r="D84" s="24">
        <v>225</v>
      </c>
      <c r="E84" s="25">
        <f t="shared" ref="E84" si="28">H84+K84+L84</f>
        <v>2592</v>
      </c>
      <c r="F84" s="26"/>
      <c r="G84" s="27"/>
      <c r="H84" s="27">
        <v>2592</v>
      </c>
      <c r="I84" s="28"/>
      <c r="J84" s="29"/>
      <c r="K84" s="29"/>
      <c r="L84" s="30"/>
      <c r="M84" s="31"/>
      <c r="N84" s="27"/>
      <c r="O84" s="27"/>
      <c r="P84" s="27"/>
      <c r="Q84" s="27"/>
      <c r="R84" s="27"/>
      <c r="S84" s="32"/>
      <c r="T84" s="33">
        <f t="shared" ref="T84" si="29">E84</f>
        <v>2592</v>
      </c>
      <c r="U84" s="27"/>
      <c r="V84" s="34">
        <f t="shared" ref="V84" si="30">H84</f>
        <v>2592</v>
      </c>
      <c r="W84" s="40"/>
      <c r="X84" s="29"/>
      <c r="Y84" s="29"/>
      <c r="Z84" s="36">
        <f t="shared" ref="Z84" si="31">L84</f>
        <v>0</v>
      </c>
      <c r="AA84" s="37"/>
      <c r="AB84" s="42"/>
      <c r="AC84" s="42"/>
      <c r="AD84" s="42"/>
      <c r="AE84" s="42"/>
      <c r="AF84" s="42"/>
      <c r="AG84" s="42"/>
      <c r="AH84" s="42"/>
      <c r="AI84" s="42"/>
    </row>
    <row r="85" spans="1:35" s="38" customFormat="1" ht="27" customHeight="1" x14ac:dyDescent="0.25">
      <c r="A85" s="21" t="s">
        <v>102</v>
      </c>
      <c r="B85" s="22" t="s">
        <v>56</v>
      </c>
      <c r="C85" s="23">
        <v>244</v>
      </c>
      <c r="D85" s="24">
        <v>225</v>
      </c>
      <c r="E85" s="25">
        <f t="shared" si="17"/>
        <v>12400</v>
      </c>
      <c r="F85" s="26"/>
      <c r="G85" s="27"/>
      <c r="H85" s="27">
        <f>5000+7400</f>
        <v>12400</v>
      </c>
      <c r="I85" s="28"/>
      <c r="J85" s="29"/>
      <c r="K85" s="29"/>
      <c r="L85" s="30"/>
      <c r="M85" s="31"/>
      <c r="N85" s="27"/>
      <c r="O85" s="27"/>
      <c r="P85" s="27"/>
      <c r="Q85" s="27"/>
      <c r="R85" s="27"/>
      <c r="S85" s="32"/>
      <c r="T85" s="33">
        <f t="shared" si="18"/>
        <v>12400</v>
      </c>
      <c r="U85" s="27"/>
      <c r="V85" s="34">
        <f t="shared" si="19"/>
        <v>12400</v>
      </c>
      <c r="W85" s="40"/>
      <c r="X85" s="29"/>
      <c r="Y85" s="29"/>
      <c r="Z85" s="36">
        <f t="shared" si="6"/>
        <v>0</v>
      </c>
      <c r="AA85" s="37"/>
      <c r="AB85" s="42"/>
      <c r="AC85" s="42"/>
      <c r="AD85" s="42"/>
      <c r="AE85" s="42"/>
      <c r="AF85" s="42"/>
      <c r="AG85" s="42"/>
      <c r="AH85" s="42"/>
      <c r="AI85" s="42"/>
    </row>
    <row r="86" spans="1:35" s="38" customFormat="1" ht="54" customHeight="1" x14ac:dyDescent="0.25">
      <c r="A86" s="21" t="s">
        <v>105</v>
      </c>
      <c r="B86" s="22" t="s">
        <v>56</v>
      </c>
      <c r="C86" s="23">
        <v>244</v>
      </c>
      <c r="D86" s="24">
        <v>225</v>
      </c>
      <c r="E86" s="25">
        <f t="shared" si="17"/>
        <v>39500</v>
      </c>
      <c r="F86" s="26"/>
      <c r="G86" s="27"/>
      <c r="H86" s="27">
        <f>3000+1500+35000</f>
        <v>39500</v>
      </c>
      <c r="I86" s="28"/>
      <c r="J86" s="29"/>
      <c r="K86" s="29"/>
      <c r="L86" s="30"/>
      <c r="M86" s="31"/>
      <c r="N86" s="27"/>
      <c r="O86" s="27"/>
      <c r="P86" s="27"/>
      <c r="Q86" s="27"/>
      <c r="R86" s="27"/>
      <c r="S86" s="32"/>
      <c r="T86" s="33">
        <f t="shared" si="18"/>
        <v>39500</v>
      </c>
      <c r="U86" s="27"/>
      <c r="V86" s="34">
        <f t="shared" si="19"/>
        <v>39500</v>
      </c>
      <c r="W86" s="40"/>
      <c r="X86" s="29"/>
      <c r="Y86" s="29"/>
      <c r="Z86" s="36">
        <f t="shared" ref="Z86:Z146" si="32">L86</f>
        <v>0</v>
      </c>
      <c r="AA86" s="37"/>
      <c r="AB86" s="42"/>
      <c r="AC86" s="42"/>
      <c r="AD86" s="42"/>
      <c r="AE86" s="42"/>
      <c r="AF86" s="42"/>
      <c r="AG86" s="42"/>
      <c r="AH86" s="42"/>
      <c r="AI86" s="42"/>
    </row>
    <row r="87" spans="1:35" s="38" customFormat="1" ht="15.75" customHeight="1" x14ac:dyDescent="0.25">
      <c r="A87" s="21" t="s">
        <v>103</v>
      </c>
      <c r="B87" s="22" t="s">
        <v>56</v>
      </c>
      <c r="C87" s="23">
        <v>244</v>
      </c>
      <c r="D87" s="24">
        <v>225</v>
      </c>
      <c r="E87" s="25">
        <f t="shared" si="17"/>
        <v>91200</v>
      </c>
      <c r="F87" s="26"/>
      <c r="G87" s="27"/>
      <c r="H87" s="27">
        <v>91200</v>
      </c>
      <c r="I87" s="28"/>
      <c r="J87" s="29"/>
      <c r="K87" s="29"/>
      <c r="L87" s="30"/>
      <c r="M87" s="31"/>
      <c r="N87" s="27"/>
      <c r="O87" s="27"/>
      <c r="P87" s="27"/>
      <c r="Q87" s="27"/>
      <c r="R87" s="27"/>
      <c r="S87" s="32"/>
      <c r="T87" s="33">
        <f t="shared" si="18"/>
        <v>91200</v>
      </c>
      <c r="U87" s="27"/>
      <c r="V87" s="34">
        <f t="shared" si="19"/>
        <v>91200</v>
      </c>
      <c r="W87" s="40"/>
      <c r="X87" s="29"/>
      <c r="Y87" s="29"/>
      <c r="Z87" s="36">
        <f t="shared" si="32"/>
        <v>0</v>
      </c>
      <c r="AA87" s="37"/>
      <c r="AB87" s="42"/>
      <c r="AC87" s="42"/>
      <c r="AD87" s="42"/>
      <c r="AE87" s="42"/>
      <c r="AF87" s="42"/>
      <c r="AG87" s="42"/>
      <c r="AH87" s="42"/>
      <c r="AI87" s="42"/>
    </row>
    <row r="88" spans="1:35" s="38" customFormat="1" ht="15.75" customHeight="1" x14ac:dyDescent="0.25">
      <c r="A88" s="21"/>
      <c r="B88" s="22"/>
      <c r="C88" s="23">
        <v>244</v>
      </c>
      <c r="D88" s="24">
        <v>225</v>
      </c>
      <c r="E88" s="25">
        <f t="shared" si="17"/>
        <v>0</v>
      </c>
      <c r="F88" s="26"/>
      <c r="G88" s="27"/>
      <c r="H88" s="27"/>
      <c r="I88" s="28"/>
      <c r="J88" s="29"/>
      <c r="K88" s="29"/>
      <c r="L88" s="30"/>
      <c r="M88" s="31"/>
      <c r="N88" s="27"/>
      <c r="O88" s="27"/>
      <c r="P88" s="27"/>
      <c r="Q88" s="27"/>
      <c r="R88" s="27"/>
      <c r="S88" s="32"/>
      <c r="T88" s="33">
        <f t="shared" si="18"/>
        <v>0</v>
      </c>
      <c r="U88" s="27"/>
      <c r="V88" s="34">
        <f t="shared" si="19"/>
        <v>0</v>
      </c>
      <c r="W88" s="40"/>
      <c r="X88" s="29"/>
      <c r="Y88" s="29"/>
      <c r="Z88" s="36">
        <f t="shared" si="32"/>
        <v>0</v>
      </c>
      <c r="AA88" s="37"/>
      <c r="AB88" s="42"/>
      <c r="AC88" s="42"/>
      <c r="AD88" s="42"/>
      <c r="AE88" s="42"/>
      <c r="AF88" s="42"/>
      <c r="AG88" s="42"/>
      <c r="AH88" s="42"/>
      <c r="AI88" s="42"/>
    </row>
    <row r="89" spans="1:35" s="38" customFormat="1" ht="15.75" customHeight="1" x14ac:dyDescent="0.25">
      <c r="A89" s="21"/>
      <c r="B89" s="22"/>
      <c r="C89" s="23">
        <v>244</v>
      </c>
      <c r="D89" s="24">
        <v>225</v>
      </c>
      <c r="E89" s="25">
        <f t="shared" si="17"/>
        <v>0</v>
      </c>
      <c r="F89" s="26"/>
      <c r="G89" s="27"/>
      <c r="H89" s="27"/>
      <c r="I89" s="28"/>
      <c r="J89" s="29"/>
      <c r="K89" s="29"/>
      <c r="L89" s="66"/>
      <c r="M89" s="31"/>
      <c r="N89" s="27"/>
      <c r="O89" s="27"/>
      <c r="P89" s="27"/>
      <c r="Q89" s="27"/>
      <c r="R89" s="27"/>
      <c r="S89" s="32"/>
      <c r="T89" s="33">
        <f t="shared" si="18"/>
        <v>0</v>
      </c>
      <c r="U89" s="27"/>
      <c r="V89" s="34">
        <f t="shared" si="19"/>
        <v>0</v>
      </c>
      <c r="W89" s="40"/>
      <c r="X89" s="29"/>
      <c r="Y89" s="29"/>
      <c r="Z89" s="36">
        <f t="shared" si="32"/>
        <v>0</v>
      </c>
      <c r="AA89" s="37"/>
    </row>
    <row r="90" spans="1:35" s="38" customFormat="1" ht="15.75" customHeight="1" x14ac:dyDescent="0.25">
      <c r="A90" s="21"/>
      <c r="B90" s="22"/>
      <c r="C90" s="23">
        <v>244</v>
      </c>
      <c r="D90" s="24">
        <v>225</v>
      </c>
      <c r="E90" s="25">
        <f t="shared" si="17"/>
        <v>0</v>
      </c>
      <c r="F90" s="26"/>
      <c r="G90" s="26"/>
      <c r="H90" s="26"/>
      <c r="I90" s="28"/>
      <c r="J90" s="31"/>
      <c r="K90" s="26"/>
      <c r="L90" s="66"/>
      <c r="M90" s="31"/>
      <c r="N90" s="27"/>
      <c r="O90" s="27"/>
      <c r="P90" s="27"/>
      <c r="Q90" s="27"/>
      <c r="R90" s="27"/>
      <c r="S90" s="32"/>
      <c r="T90" s="33">
        <f t="shared" si="18"/>
        <v>0</v>
      </c>
      <c r="U90" s="26"/>
      <c r="V90" s="34">
        <f t="shared" si="19"/>
        <v>0</v>
      </c>
      <c r="W90" s="35"/>
      <c r="X90" s="31"/>
      <c r="Y90" s="31"/>
      <c r="Z90" s="36">
        <f t="shared" si="32"/>
        <v>0</v>
      </c>
      <c r="AA90" s="37"/>
    </row>
    <row r="91" spans="1:35" s="38" customFormat="1" ht="15.75" customHeight="1" x14ac:dyDescent="0.25">
      <c r="A91" s="21"/>
      <c r="B91" s="22"/>
      <c r="C91" s="23">
        <v>244</v>
      </c>
      <c r="D91" s="24">
        <v>225</v>
      </c>
      <c r="E91" s="25">
        <f t="shared" si="17"/>
        <v>0</v>
      </c>
      <c r="F91" s="26"/>
      <c r="G91" s="26"/>
      <c r="H91" s="26"/>
      <c r="I91" s="28"/>
      <c r="J91" s="31"/>
      <c r="K91" s="26"/>
      <c r="L91" s="66"/>
      <c r="M91" s="31"/>
      <c r="N91" s="27"/>
      <c r="O91" s="27"/>
      <c r="P91" s="27"/>
      <c r="Q91" s="27"/>
      <c r="R91" s="27"/>
      <c r="S91" s="32"/>
      <c r="T91" s="33">
        <f t="shared" si="18"/>
        <v>0</v>
      </c>
      <c r="U91" s="26"/>
      <c r="V91" s="34">
        <f t="shared" si="19"/>
        <v>0</v>
      </c>
      <c r="W91" s="35"/>
      <c r="X91" s="31"/>
      <c r="Y91" s="31"/>
      <c r="Z91" s="36">
        <f t="shared" si="32"/>
        <v>0</v>
      </c>
      <c r="AA91" s="37"/>
    </row>
    <row r="92" spans="1:35" s="38" customFormat="1" ht="15.75" customHeight="1" x14ac:dyDescent="0.25">
      <c r="A92" s="21"/>
      <c r="B92" s="22"/>
      <c r="C92" s="23">
        <v>244</v>
      </c>
      <c r="D92" s="24">
        <v>225</v>
      </c>
      <c r="E92" s="25">
        <f t="shared" si="17"/>
        <v>0</v>
      </c>
      <c r="F92" s="26"/>
      <c r="G92" s="26"/>
      <c r="H92" s="26"/>
      <c r="I92" s="28"/>
      <c r="J92" s="31"/>
      <c r="K92" s="26"/>
      <c r="L92" s="66"/>
      <c r="M92" s="31"/>
      <c r="N92" s="27"/>
      <c r="O92" s="27"/>
      <c r="P92" s="27"/>
      <c r="Q92" s="27"/>
      <c r="R92" s="27"/>
      <c r="S92" s="32"/>
      <c r="T92" s="33">
        <f t="shared" si="18"/>
        <v>0</v>
      </c>
      <c r="U92" s="26"/>
      <c r="V92" s="34">
        <f t="shared" si="19"/>
        <v>0</v>
      </c>
      <c r="W92" s="35"/>
      <c r="X92" s="31"/>
      <c r="Y92" s="31"/>
      <c r="Z92" s="36">
        <f t="shared" si="32"/>
        <v>0</v>
      </c>
      <c r="AA92" s="37"/>
    </row>
    <row r="93" spans="1:35" s="50" customFormat="1" x14ac:dyDescent="0.25">
      <c r="A93" s="62" t="s">
        <v>37</v>
      </c>
      <c r="B93" s="63"/>
      <c r="C93" s="64"/>
      <c r="D93" s="65"/>
      <c r="E93" s="45">
        <f>SUM(E65:E92)</f>
        <v>552381.14</v>
      </c>
      <c r="F93" s="45"/>
      <c r="G93" s="45">
        <f>SUM(G65:G92)</f>
        <v>0</v>
      </c>
      <c r="H93" s="45">
        <f>SUM(H65:H92)</f>
        <v>551360.29</v>
      </c>
      <c r="I93" s="28"/>
      <c r="J93" s="45">
        <f>SUM(J66:J92)</f>
        <v>0</v>
      </c>
      <c r="K93" s="45">
        <f>SUM(K66:K92)</f>
        <v>0</v>
      </c>
      <c r="L93" s="45">
        <f>L66+L67+L68+L69+L70+L71+L72+L73+L74+L75+L87+L88+L89+L65</f>
        <v>1020.85</v>
      </c>
      <c r="M93" s="31"/>
      <c r="N93" s="29"/>
      <c r="O93" s="29"/>
      <c r="P93" s="29"/>
      <c r="Q93" s="29"/>
      <c r="R93" s="29"/>
      <c r="S93" s="72"/>
      <c r="T93" s="54">
        <f t="shared" si="18"/>
        <v>552381.14</v>
      </c>
      <c r="U93" s="45"/>
      <c r="V93" s="66">
        <f t="shared" si="19"/>
        <v>551360.29</v>
      </c>
      <c r="W93" s="74"/>
      <c r="X93" s="45"/>
      <c r="Y93" s="45"/>
      <c r="Z93" s="69">
        <f t="shared" si="32"/>
        <v>1020.85</v>
      </c>
      <c r="AA93" s="71"/>
    </row>
    <row r="94" spans="1:35" s="38" customFormat="1" x14ac:dyDescent="0.25">
      <c r="A94" s="21" t="s">
        <v>88</v>
      </c>
      <c r="B94" s="22" t="s">
        <v>59</v>
      </c>
      <c r="C94" s="23">
        <v>244</v>
      </c>
      <c r="D94" s="24">
        <v>226</v>
      </c>
      <c r="E94" s="25">
        <f>H94+K94+L94+G94</f>
        <v>588</v>
      </c>
      <c r="F94" s="26"/>
      <c r="G94" s="26"/>
      <c r="H94" s="26">
        <f>528.8-G94</f>
        <v>528.79999999999995</v>
      </c>
      <c r="I94" s="28"/>
      <c r="J94" s="26"/>
      <c r="K94" s="26"/>
      <c r="L94" s="26">
        <v>59.2</v>
      </c>
      <c r="M94" s="26"/>
      <c r="N94" s="27"/>
      <c r="O94" s="27"/>
      <c r="P94" s="27"/>
      <c r="Q94" s="27"/>
      <c r="R94" s="27"/>
      <c r="S94" s="32"/>
      <c r="T94" s="33">
        <f t="shared" si="18"/>
        <v>588</v>
      </c>
      <c r="U94" s="26"/>
      <c r="V94" s="34">
        <f t="shared" si="19"/>
        <v>528.79999999999995</v>
      </c>
      <c r="W94" s="73"/>
      <c r="X94" s="26"/>
      <c r="Y94" s="26"/>
      <c r="Z94" s="36">
        <f t="shared" si="32"/>
        <v>59.2</v>
      </c>
      <c r="AA94" s="37"/>
    </row>
    <row r="95" spans="1:35" s="38" customFormat="1" x14ac:dyDescent="0.25">
      <c r="A95" s="21" t="s">
        <v>89</v>
      </c>
      <c r="B95" s="22" t="s">
        <v>59</v>
      </c>
      <c r="C95" s="23">
        <f>C94</f>
        <v>244</v>
      </c>
      <c r="D95" s="24">
        <f>D94</f>
        <v>226</v>
      </c>
      <c r="E95" s="25">
        <f t="shared" ref="E95:E96" si="33">H95+K95+L95+G95</f>
        <v>7198.8</v>
      </c>
      <c r="F95" s="26"/>
      <c r="G95" s="26"/>
      <c r="H95" s="26">
        <v>6473.97</v>
      </c>
      <c r="I95" s="28"/>
      <c r="J95" s="26"/>
      <c r="K95" s="26"/>
      <c r="L95" s="26">
        <v>724.83</v>
      </c>
      <c r="M95" s="26"/>
      <c r="N95" s="27"/>
      <c r="O95" s="27"/>
      <c r="P95" s="27"/>
      <c r="Q95" s="27"/>
      <c r="R95" s="27"/>
      <c r="S95" s="32"/>
      <c r="T95" s="33">
        <f t="shared" si="18"/>
        <v>7198.8</v>
      </c>
      <c r="U95" s="26"/>
      <c r="V95" s="34">
        <f t="shared" si="19"/>
        <v>6473.97</v>
      </c>
      <c r="W95" s="73"/>
      <c r="X95" s="26"/>
      <c r="Y95" s="26"/>
      <c r="Z95" s="36">
        <f t="shared" si="32"/>
        <v>724.83</v>
      </c>
      <c r="AA95" s="37"/>
    </row>
    <row r="96" spans="1:35" s="38" customFormat="1" x14ac:dyDescent="0.25">
      <c r="A96" s="21" t="s">
        <v>90</v>
      </c>
      <c r="B96" s="22" t="s">
        <v>59</v>
      </c>
      <c r="C96" s="23">
        <f t="shared" ref="C96:D99" si="34">C95</f>
        <v>244</v>
      </c>
      <c r="D96" s="24">
        <f t="shared" si="34"/>
        <v>226</v>
      </c>
      <c r="E96" s="25">
        <f t="shared" si="33"/>
        <v>121800</v>
      </c>
      <c r="F96" s="26"/>
      <c r="G96" s="26"/>
      <c r="H96" s="26">
        <f>90527.59-G96</f>
        <v>90527.59</v>
      </c>
      <c r="I96" s="28"/>
      <c r="J96" s="26"/>
      <c r="K96" s="26"/>
      <c r="L96" s="26">
        <v>31272.41</v>
      </c>
      <c r="M96" s="26"/>
      <c r="N96" s="27"/>
      <c r="O96" s="27"/>
      <c r="P96" s="27"/>
      <c r="Q96" s="27"/>
      <c r="R96" s="27"/>
      <c r="S96" s="32"/>
      <c r="T96" s="33">
        <f t="shared" si="18"/>
        <v>121800</v>
      </c>
      <c r="U96" s="26"/>
      <c r="V96" s="34">
        <f t="shared" si="19"/>
        <v>90527.59</v>
      </c>
      <c r="W96" s="73"/>
      <c r="X96" s="26"/>
      <c r="Y96" s="26"/>
      <c r="Z96" s="36">
        <f t="shared" si="32"/>
        <v>31272.41</v>
      </c>
      <c r="AA96" s="37"/>
    </row>
    <row r="97" spans="1:27" s="38" customFormat="1" x14ac:dyDescent="0.25">
      <c r="A97" s="21" t="s">
        <v>91</v>
      </c>
      <c r="B97" s="22" t="s">
        <v>59</v>
      </c>
      <c r="C97" s="23">
        <f t="shared" si="34"/>
        <v>244</v>
      </c>
      <c r="D97" s="24">
        <f t="shared" si="34"/>
        <v>226</v>
      </c>
      <c r="E97" s="25">
        <f>H97+K97+L97+G97</f>
        <v>47854.8</v>
      </c>
      <c r="F97" s="26"/>
      <c r="G97" s="26"/>
      <c r="H97" s="26">
        <f>43036.44-G97</f>
        <v>43036.44</v>
      </c>
      <c r="I97" s="28"/>
      <c r="J97" s="26"/>
      <c r="K97" s="26"/>
      <c r="L97" s="26">
        <v>4818.3599999999997</v>
      </c>
      <c r="M97" s="26"/>
      <c r="N97" s="27"/>
      <c r="O97" s="27"/>
      <c r="P97" s="27"/>
      <c r="Q97" s="27"/>
      <c r="R97" s="27"/>
      <c r="S97" s="32"/>
      <c r="T97" s="33">
        <f t="shared" si="18"/>
        <v>47854.8</v>
      </c>
      <c r="U97" s="26"/>
      <c r="V97" s="34">
        <f t="shared" si="19"/>
        <v>43036.44</v>
      </c>
      <c r="W97" s="73"/>
      <c r="X97" s="26"/>
      <c r="Y97" s="26"/>
      <c r="Z97" s="36">
        <f t="shared" si="32"/>
        <v>4818.3599999999997</v>
      </c>
      <c r="AA97" s="37"/>
    </row>
    <row r="98" spans="1:27" s="38" customFormat="1" ht="25.5" x14ac:dyDescent="0.25">
      <c r="A98" s="21" t="s">
        <v>92</v>
      </c>
      <c r="B98" s="22" t="s">
        <v>59</v>
      </c>
      <c r="C98" s="23">
        <f t="shared" si="34"/>
        <v>244</v>
      </c>
      <c r="D98" s="24">
        <f t="shared" si="34"/>
        <v>226</v>
      </c>
      <c r="E98" s="25">
        <f t="shared" ref="E98:E108" si="35">H98+K98+L98+G98</f>
        <v>11743.99</v>
      </c>
      <c r="F98" s="26"/>
      <c r="G98" s="26"/>
      <c r="H98" s="26">
        <v>11743.99</v>
      </c>
      <c r="I98" s="28"/>
      <c r="J98" s="26"/>
      <c r="K98" s="26"/>
      <c r="L98" s="26"/>
      <c r="M98" s="26"/>
      <c r="N98" s="27"/>
      <c r="O98" s="27"/>
      <c r="P98" s="27"/>
      <c r="Q98" s="27"/>
      <c r="R98" s="27"/>
      <c r="S98" s="32"/>
      <c r="T98" s="33">
        <f t="shared" si="18"/>
        <v>11743.99</v>
      </c>
      <c r="U98" s="26"/>
      <c r="V98" s="34">
        <f t="shared" si="19"/>
        <v>11743.99</v>
      </c>
      <c r="W98" s="73"/>
      <c r="X98" s="26"/>
      <c r="Y98" s="26"/>
      <c r="Z98" s="36">
        <f t="shared" si="32"/>
        <v>0</v>
      </c>
      <c r="AA98" s="37"/>
    </row>
    <row r="99" spans="1:27" s="38" customFormat="1" x14ac:dyDescent="0.25">
      <c r="A99" s="21" t="s">
        <v>93</v>
      </c>
      <c r="B99" s="22" t="s">
        <v>59</v>
      </c>
      <c r="C99" s="23">
        <f t="shared" si="34"/>
        <v>244</v>
      </c>
      <c r="D99" s="24">
        <f t="shared" si="34"/>
        <v>226</v>
      </c>
      <c r="E99" s="25">
        <f t="shared" si="35"/>
        <v>18299.400000000001</v>
      </c>
      <c r="F99" s="26"/>
      <c r="G99" s="26"/>
      <c r="H99" s="26">
        <v>16456.88</v>
      </c>
      <c r="I99" s="28"/>
      <c r="J99" s="26"/>
      <c r="K99" s="26"/>
      <c r="L99" s="26">
        <v>1842.52</v>
      </c>
      <c r="M99" s="26"/>
      <c r="N99" s="27"/>
      <c r="O99" s="27"/>
      <c r="P99" s="27"/>
      <c r="Q99" s="27"/>
      <c r="R99" s="27"/>
      <c r="S99" s="32"/>
      <c r="T99" s="33">
        <f t="shared" si="18"/>
        <v>18299.400000000001</v>
      </c>
      <c r="U99" s="26"/>
      <c r="V99" s="34">
        <f t="shared" si="19"/>
        <v>16456.88</v>
      </c>
      <c r="W99" s="73"/>
      <c r="X99" s="26"/>
      <c r="Y99" s="26"/>
      <c r="Z99" s="36">
        <f t="shared" si="32"/>
        <v>1842.52</v>
      </c>
      <c r="AA99" s="37"/>
    </row>
    <row r="100" spans="1:27" s="38" customFormat="1" ht="30" customHeight="1" x14ac:dyDescent="0.2">
      <c r="A100" s="43" t="s">
        <v>74</v>
      </c>
      <c r="B100" s="22" t="s">
        <v>58</v>
      </c>
      <c r="C100" s="23">
        <v>244</v>
      </c>
      <c r="D100" s="24">
        <v>226</v>
      </c>
      <c r="E100" s="25">
        <f t="shared" si="35"/>
        <v>58860</v>
      </c>
      <c r="F100" s="26"/>
      <c r="G100" s="31"/>
      <c r="H100" s="26">
        <v>58860</v>
      </c>
      <c r="I100" s="28"/>
      <c r="J100" s="31"/>
      <c r="K100" s="31"/>
      <c r="L100" s="29"/>
      <c r="M100" s="31"/>
      <c r="N100" s="27"/>
      <c r="O100" s="27"/>
      <c r="P100" s="27"/>
      <c r="Q100" s="27"/>
      <c r="R100" s="27"/>
      <c r="S100" s="32"/>
      <c r="T100" s="33">
        <f t="shared" si="18"/>
        <v>58860</v>
      </c>
      <c r="U100" s="31"/>
      <c r="V100" s="34">
        <f t="shared" si="19"/>
        <v>58860</v>
      </c>
      <c r="W100" s="35"/>
      <c r="X100" s="31"/>
      <c r="Y100" s="31"/>
      <c r="Z100" s="36">
        <f t="shared" si="32"/>
        <v>0</v>
      </c>
      <c r="AA100" s="37"/>
    </row>
    <row r="101" spans="1:27" s="38" customFormat="1" ht="19.5" customHeight="1" x14ac:dyDescent="0.2">
      <c r="A101" s="75" t="s">
        <v>101</v>
      </c>
      <c r="B101" s="22" t="s">
        <v>58</v>
      </c>
      <c r="C101" s="23">
        <v>244</v>
      </c>
      <c r="D101" s="24">
        <v>226</v>
      </c>
      <c r="E101" s="25">
        <f t="shared" si="35"/>
        <v>688728</v>
      </c>
      <c r="F101" s="26"/>
      <c r="G101" s="31"/>
      <c r="H101" s="26">
        <v>688728</v>
      </c>
      <c r="I101" s="28"/>
      <c r="J101" s="31"/>
      <c r="K101" s="26"/>
      <c r="L101" s="29"/>
      <c r="M101" s="31"/>
      <c r="N101" s="27"/>
      <c r="O101" s="27"/>
      <c r="P101" s="27"/>
      <c r="Q101" s="27"/>
      <c r="R101" s="27"/>
      <c r="S101" s="32"/>
      <c r="T101" s="33">
        <f t="shared" si="18"/>
        <v>688728</v>
      </c>
      <c r="U101" s="31"/>
      <c r="V101" s="34">
        <f t="shared" si="19"/>
        <v>688728</v>
      </c>
      <c r="W101" s="35"/>
      <c r="X101" s="31"/>
      <c r="Y101" s="31"/>
      <c r="Z101" s="36">
        <f t="shared" si="32"/>
        <v>0</v>
      </c>
      <c r="AA101" s="37"/>
    </row>
    <row r="102" spans="1:27" s="38" customFormat="1" ht="76.5" x14ac:dyDescent="0.2">
      <c r="A102" s="43" t="s">
        <v>100</v>
      </c>
      <c r="B102" s="22" t="s">
        <v>58</v>
      </c>
      <c r="C102" s="23">
        <v>244</v>
      </c>
      <c r="D102" s="24">
        <v>226</v>
      </c>
      <c r="E102" s="25">
        <f t="shared" si="35"/>
        <v>6000</v>
      </c>
      <c r="F102" s="26"/>
      <c r="G102" s="31"/>
      <c r="H102" s="34">
        <v>6000</v>
      </c>
      <c r="I102" s="28"/>
      <c r="J102" s="31"/>
      <c r="K102" s="31"/>
      <c r="L102" s="29"/>
      <c r="M102" s="31"/>
      <c r="N102" s="27"/>
      <c r="O102" s="27"/>
      <c r="P102" s="27"/>
      <c r="Q102" s="27"/>
      <c r="R102" s="27"/>
      <c r="S102" s="32"/>
      <c r="T102" s="33">
        <f t="shared" si="18"/>
        <v>6000</v>
      </c>
      <c r="U102" s="31"/>
      <c r="V102" s="34">
        <f t="shared" si="19"/>
        <v>6000</v>
      </c>
      <c r="W102" s="35"/>
      <c r="X102" s="31"/>
      <c r="Y102" s="31"/>
      <c r="Z102" s="36">
        <f t="shared" si="32"/>
        <v>0</v>
      </c>
      <c r="AA102" s="37"/>
    </row>
    <row r="103" spans="1:27" s="38" customFormat="1" x14ac:dyDescent="0.2">
      <c r="A103" s="43" t="s">
        <v>117</v>
      </c>
      <c r="B103" s="22" t="s">
        <v>56</v>
      </c>
      <c r="C103" s="23">
        <v>244</v>
      </c>
      <c r="D103" s="24">
        <v>226</v>
      </c>
      <c r="E103" s="25">
        <f t="shared" ref="E103" si="36">H103+K103+L103+G103</f>
        <v>195000</v>
      </c>
      <c r="F103" s="26"/>
      <c r="G103" s="31"/>
      <c r="H103" s="26">
        <f>195000</f>
        <v>195000</v>
      </c>
      <c r="I103" s="28"/>
      <c r="J103" s="31"/>
      <c r="K103" s="31"/>
      <c r="L103" s="29"/>
      <c r="M103" s="31"/>
      <c r="N103" s="27"/>
      <c r="O103" s="27"/>
      <c r="P103" s="27"/>
      <c r="Q103" s="27"/>
      <c r="R103" s="27"/>
      <c r="S103" s="32"/>
      <c r="T103" s="33">
        <f t="shared" ref="T103" si="37">E103</f>
        <v>195000</v>
      </c>
      <c r="U103" s="31"/>
      <c r="V103" s="34">
        <f t="shared" ref="V103" si="38">H103</f>
        <v>195000</v>
      </c>
      <c r="W103" s="35"/>
      <c r="X103" s="31"/>
      <c r="Y103" s="31"/>
      <c r="Z103" s="36">
        <f t="shared" ref="Z103" si="39">L103</f>
        <v>0</v>
      </c>
      <c r="AA103" s="37"/>
    </row>
    <row r="104" spans="1:27" s="38" customFormat="1" ht="38.25" x14ac:dyDescent="0.2">
      <c r="A104" s="43" t="s">
        <v>113</v>
      </c>
      <c r="B104" s="22" t="s">
        <v>56</v>
      </c>
      <c r="C104" s="23">
        <v>244</v>
      </c>
      <c r="D104" s="24">
        <v>226</v>
      </c>
      <c r="E104" s="25">
        <f t="shared" ref="E104" si="40">H104+K104+L104+G104</f>
        <v>64800</v>
      </c>
      <c r="F104" s="26"/>
      <c r="G104" s="31"/>
      <c r="H104" s="26">
        <v>64800</v>
      </c>
      <c r="I104" s="28"/>
      <c r="J104" s="31"/>
      <c r="K104" s="31"/>
      <c r="L104" s="29"/>
      <c r="M104" s="31"/>
      <c r="N104" s="27"/>
      <c r="O104" s="27"/>
      <c r="P104" s="27"/>
      <c r="Q104" s="27"/>
      <c r="R104" s="27"/>
      <c r="S104" s="32"/>
      <c r="T104" s="33">
        <f t="shared" ref="T104" si="41">E104</f>
        <v>64800</v>
      </c>
      <c r="U104" s="31"/>
      <c r="V104" s="34">
        <f t="shared" ref="V104" si="42">H104</f>
        <v>64800</v>
      </c>
      <c r="W104" s="35"/>
      <c r="X104" s="31"/>
      <c r="Y104" s="31"/>
      <c r="Z104" s="36">
        <f t="shared" ref="Z104" si="43">L104</f>
        <v>0</v>
      </c>
      <c r="AA104" s="37"/>
    </row>
    <row r="105" spans="1:27" s="38" customFormat="1" ht="29.25" customHeight="1" x14ac:dyDescent="0.2">
      <c r="A105" s="43" t="s">
        <v>111</v>
      </c>
      <c r="B105" s="22" t="s">
        <v>56</v>
      </c>
      <c r="C105" s="23">
        <v>244</v>
      </c>
      <c r="D105" s="24">
        <v>226</v>
      </c>
      <c r="E105" s="25">
        <f t="shared" si="35"/>
        <v>158620.4</v>
      </c>
      <c r="F105" s="26"/>
      <c r="G105" s="31"/>
      <c r="H105" s="26">
        <f>127000+35000+10000-13379.6</f>
        <v>158620.4</v>
      </c>
      <c r="I105" s="28"/>
      <c r="J105" s="31"/>
      <c r="K105" s="31"/>
      <c r="L105" s="29"/>
      <c r="M105" s="31"/>
      <c r="N105" s="27"/>
      <c r="O105" s="27"/>
      <c r="P105" s="27"/>
      <c r="Q105" s="27"/>
      <c r="R105" s="27"/>
      <c r="S105" s="32"/>
      <c r="T105" s="33">
        <f t="shared" si="18"/>
        <v>158620.4</v>
      </c>
      <c r="U105" s="31"/>
      <c r="V105" s="34">
        <f t="shared" si="19"/>
        <v>158620.4</v>
      </c>
      <c r="W105" s="35"/>
      <c r="X105" s="31"/>
      <c r="Y105" s="31"/>
      <c r="Z105" s="36">
        <f t="shared" si="32"/>
        <v>0</v>
      </c>
      <c r="AA105" s="37"/>
    </row>
    <row r="106" spans="1:27" s="38" customFormat="1" x14ac:dyDescent="0.2">
      <c r="A106" s="43" t="s">
        <v>106</v>
      </c>
      <c r="B106" s="22" t="s">
        <v>56</v>
      </c>
      <c r="C106" s="23">
        <v>244</v>
      </c>
      <c r="D106" s="24">
        <v>226</v>
      </c>
      <c r="E106" s="25">
        <f t="shared" si="35"/>
        <v>37122</v>
      </c>
      <c r="F106" s="26"/>
      <c r="G106" s="31"/>
      <c r="H106" s="26">
        <f>6400+15072+15650</f>
        <v>37122</v>
      </c>
      <c r="I106" s="28"/>
      <c r="J106" s="31"/>
      <c r="K106" s="31"/>
      <c r="L106" s="29"/>
      <c r="M106" s="31"/>
      <c r="N106" s="27"/>
      <c r="O106" s="27"/>
      <c r="P106" s="27"/>
      <c r="Q106" s="27"/>
      <c r="R106" s="27"/>
      <c r="S106" s="32"/>
      <c r="T106" s="33">
        <f t="shared" si="18"/>
        <v>37122</v>
      </c>
      <c r="U106" s="31"/>
      <c r="V106" s="34">
        <f t="shared" si="19"/>
        <v>37122</v>
      </c>
      <c r="W106" s="35"/>
      <c r="X106" s="31"/>
      <c r="Y106" s="31"/>
      <c r="Z106" s="36">
        <f t="shared" si="32"/>
        <v>0</v>
      </c>
      <c r="AA106" s="37"/>
    </row>
    <row r="107" spans="1:27" s="38" customFormat="1" x14ac:dyDescent="0.2">
      <c r="A107" s="43" t="s">
        <v>114</v>
      </c>
      <c r="B107" s="22" t="s">
        <v>56</v>
      </c>
      <c r="C107" s="23">
        <v>244</v>
      </c>
      <c r="D107" s="24">
        <v>226</v>
      </c>
      <c r="E107" s="25">
        <f t="shared" ref="E107" si="44">H107+K107+L107+G107</f>
        <v>7200</v>
      </c>
      <c r="F107" s="26"/>
      <c r="G107" s="31"/>
      <c r="H107" s="26">
        <f>7200</f>
        <v>7200</v>
      </c>
      <c r="I107" s="28"/>
      <c r="J107" s="31"/>
      <c r="K107" s="31"/>
      <c r="L107" s="29"/>
      <c r="M107" s="31"/>
      <c r="N107" s="27"/>
      <c r="O107" s="27"/>
      <c r="P107" s="27"/>
      <c r="Q107" s="27"/>
      <c r="R107" s="27"/>
      <c r="S107" s="32"/>
      <c r="T107" s="33">
        <f t="shared" ref="T107" si="45">E107</f>
        <v>7200</v>
      </c>
      <c r="U107" s="31"/>
      <c r="V107" s="34">
        <f t="shared" ref="V107" si="46">H107</f>
        <v>7200</v>
      </c>
      <c r="W107" s="35"/>
      <c r="X107" s="31"/>
      <c r="Y107" s="31"/>
      <c r="Z107" s="36">
        <f t="shared" ref="Z107" si="47">L107</f>
        <v>0</v>
      </c>
      <c r="AA107" s="37"/>
    </row>
    <row r="108" spans="1:27" s="38" customFormat="1" ht="15.75" customHeight="1" x14ac:dyDescent="0.2">
      <c r="A108" s="43" t="s">
        <v>101</v>
      </c>
      <c r="B108" s="22" t="s">
        <v>56</v>
      </c>
      <c r="C108" s="23">
        <v>244</v>
      </c>
      <c r="D108" s="24">
        <v>226</v>
      </c>
      <c r="E108" s="25">
        <f t="shared" si="35"/>
        <v>75701.319999999992</v>
      </c>
      <c r="F108" s="26"/>
      <c r="G108" s="31"/>
      <c r="H108" s="26">
        <f>18273.33+57428.1-0.11</f>
        <v>75701.319999999992</v>
      </c>
      <c r="I108" s="28"/>
      <c r="J108" s="31"/>
      <c r="K108" s="31"/>
      <c r="L108" s="29"/>
      <c r="M108" s="31"/>
      <c r="N108" s="27"/>
      <c r="O108" s="27"/>
      <c r="P108" s="27"/>
      <c r="Q108" s="27"/>
      <c r="R108" s="27"/>
      <c r="S108" s="32"/>
      <c r="T108" s="33">
        <f t="shared" si="18"/>
        <v>75701.319999999992</v>
      </c>
      <c r="U108" s="31"/>
      <c r="V108" s="34">
        <f t="shared" si="19"/>
        <v>75701.319999999992</v>
      </c>
      <c r="W108" s="35"/>
      <c r="X108" s="31"/>
      <c r="Y108" s="31"/>
      <c r="Z108" s="36">
        <f t="shared" si="32"/>
        <v>0</v>
      </c>
      <c r="AA108" s="37"/>
    </row>
    <row r="109" spans="1:27" s="38" customFormat="1" ht="12" customHeight="1" x14ac:dyDescent="0.2">
      <c r="A109" s="43"/>
      <c r="B109" s="22"/>
      <c r="C109" s="23">
        <v>244</v>
      </c>
      <c r="D109" s="24">
        <v>226</v>
      </c>
      <c r="E109" s="25">
        <f t="shared" ref="E109" si="48">H109+K109+L109</f>
        <v>0</v>
      </c>
      <c r="F109" s="26"/>
      <c r="G109" s="31"/>
      <c r="H109" s="26"/>
      <c r="I109" s="28"/>
      <c r="J109" s="31"/>
      <c r="K109" s="31"/>
      <c r="L109" s="29"/>
      <c r="M109" s="31"/>
      <c r="N109" s="27"/>
      <c r="O109" s="27"/>
      <c r="P109" s="27"/>
      <c r="Q109" s="27"/>
      <c r="R109" s="27"/>
      <c r="S109" s="32"/>
      <c r="T109" s="33">
        <f t="shared" si="18"/>
        <v>0</v>
      </c>
      <c r="U109" s="31"/>
      <c r="V109" s="34">
        <f t="shared" si="19"/>
        <v>0</v>
      </c>
      <c r="W109" s="35"/>
      <c r="X109" s="31"/>
      <c r="Y109" s="31"/>
      <c r="Z109" s="36">
        <f t="shared" si="32"/>
        <v>0</v>
      </c>
      <c r="AA109" s="37"/>
    </row>
    <row r="110" spans="1:27" s="38" customFormat="1" ht="15.75" customHeight="1" x14ac:dyDescent="0.2">
      <c r="A110" s="75"/>
      <c r="B110" s="22"/>
      <c r="C110" s="23">
        <v>244</v>
      </c>
      <c r="D110" s="24">
        <v>226</v>
      </c>
      <c r="E110" s="25"/>
      <c r="F110" s="26"/>
      <c r="G110" s="31"/>
      <c r="H110" s="26"/>
      <c r="I110" s="28"/>
      <c r="J110" s="31"/>
      <c r="K110" s="31"/>
      <c r="L110" s="27"/>
      <c r="M110" s="31"/>
      <c r="N110" s="27"/>
      <c r="O110" s="27"/>
      <c r="P110" s="27"/>
      <c r="Q110" s="27"/>
      <c r="R110" s="27"/>
      <c r="S110" s="32"/>
      <c r="T110" s="33">
        <f t="shared" si="18"/>
        <v>0</v>
      </c>
      <c r="U110" s="31"/>
      <c r="V110" s="34">
        <f t="shared" si="19"/>
        <v>0</v>
      </c>
      <c r="W110" s="35"/>
      <c r="X110" s="31"/>
      <c r="Y110" s="31"/>
      <c r="Z110" s="36">
        <f t="shared" si="32"/>
        <v>0</v>
      </c>
      <c r="AA110" s="37"/>
    </row>
    <row r="111" spans="1:27" s="38" customFormat="1" ht="15.75" customHeight="1" x14ac:dyDescent="0.2">
      <c r="A111" s="43"/>
      <c r="B111" s="22"/>
      <c r="C111" s="23">
        <v>244</v>
      </c>
      <c r="D111" s="24">
        <v>226</v>
      </c>
      <c r="E111" s="25">
        <f t="shared" ref="E111" si="49">H111+K111+L111</f>
        <v>0</v>
      </c>
      <c r="F111" s="26"/>
      <c r="G111" s="31"/>
      <c r="H111" s="26"/>
      <c r="I111" s="28"/>
      <c r="J111" s="31"/>
      <c r="K111" s="26"/>
      <c r="L111" s="27"/>
      <c r="M111" s="31"/>
      <c r="N111" s="27"/>
      <c r="O111" s="27"/>
      <c r="P111" s="27"/>
      <c r="Q111" s="27"/>
      <c r="R111" s="27"/>
      <c r="S111" s="32"/>
      <c r="T111" s="33">
        <f t="shared" si="18"/>
        <v>0</v>
      </c>
      <c r="U111" s="31"/>
      <c r="V111" s="34">
        <f t="shared" si="19"/>
        <v>0</v>
      </c>
      <c r="W111" s="35"/>
      <c r="X111" s="31"/>
      <c r="Y111" s="31"/>
      <c r="Z111" s="36">
        <f t="shared" si="32"/>
        <v>0</v>
      </c>
      <c r="AA111" s="37"/>
    </row>
    <row r="112" spans="1:27" s="38" customFormat="1" ht="15" customHeight="1" x14ac:dyDescent="0.2">
      <c r="A112" s="43"/>
      <c r="B112" s="22"/>
      <c r="C112" s="23">
        <v>244</v>
      </c>
      <c r="D112" s="24">
        <v>226</v>
      </c>
      <c r="E112" s="25">
        <f>H112+K112+L112</f>
        <v>0</v>
      </c>
      <c r="F112" s="26"/>
      <c r="G112" s="31"/>
      <c r="H112" s="26"/>
      <c r="I112" s="28"/>
      <c r="J112" s="31"/>
      <c r="K112" s="26"/>
      <c r="L112" s="29"/>
      <c r="M112" s="31"/>
      <c r="N112" s="27"/>
      <c r="O112" s="27"/>
      <c r="P112" s="27"/>
      <c r="Q112" s="27"/>
      <c r="R112" s="27"/>
      <c r="S112" s="32"/>
      <c r="T112" s="33">
        <f t="shared" si="18"/>
        <v>0</v>
      </c>
      <c r="U112" s="31"/>
      <c r="V112" s="34">
        <f t="shared" si="19"/>
        <v>0</v>
      </c>
      <c r="W112" s="35"/>
      <c r="X112" s="31"/>
      <c r="Y112" s="31"/>
      <c r="Z112" s="36">
        <f t="shared" si="32"/>
        <v>0</v>
      </c>
      <c r="AA112" s="37"/>
    </row>
    <row r="113" spans="1:27" s="38" customFormat="1" ht="1.5" customHeight="1" x14ac:dyDescent="0.2">
      <c r="A113" s="75"/>
      <c r="B113" s="22"/>
      <c r="C113" s="23">
        <v>244</v>
      </c>
      <c r="D113" s="24">
        <v>226</v>
      </c>
      <c r="E113" s="25">
        <f>H113+K113+L113</f>
        <v>0</v>
      </c>
      <c r="F113" s="26"/>
      <c r="G113" s="26"/>
      <c r="H113" s="26"/>
      <c r="I113" s="28"/>
      <c r="J113" s="31"/>
      <c r="K113" s="26"/>
      <c r="L113" s="66"/>
      <c r="M113" s="31"/>
      <c r="N113" s="27"/>
      <c r="O113" s="27"/>
      <c r="P113" s="27"/>
      <c r="Q113" s="27"/>
      <c r="R113" s="27"/>
      <c r="S113" s="32"/>
      <c r="T113" s="33">
        <f t="shared" si="18"/>
        <v>0</v>
      </c>
      <c r="U113" s="26"/>
      <c r="V113" s="34">
        <f t="shared" si="19"/>
        <v>0</v>
      </c>
      <c r="W113" s="35"/>
      <c r="X113" s="31"/>
      <c r="Y113" s="31"/>
      <c r="Z113" s="36">
        <f t="shared" si="32"/>
        <v>0</v>
      </c>
      <c r="AA113" s="37"/>
    </row>
    <row r="114" spans="1:27" s="50" customFormat="1" x14ac:dyDescent="0.25">
      <c r="A114" s="62" t="s">
        <v>38</v>
      </c>
      <c r="B114" s="63"/>
      <c r="C114" s="64"/>
      <c r="D114" s="65"/>
      <c r="E114" s="45">
        <f>SUM(E94:E113)</f>
        <v>1499516.71</v>
      </c>
      <c r="F114" s="45"/>
      <c r="G114" s="45">
        <f>SUM(G94:G113)</f>
        <v>0</v>
      </c>
      <c r="H114" s="45">
        <f>SUM(H94:H113)</f>
        <v>1460799.39</v>
      </c>
      <c r="I114" s="28"/>
      <c r="J114" s="45">
        <f>SUM(J100:J113)</f>
        <v>0</v>
      </c>
      <c r="K114" s="45">
        <f>SUM(K100:K113)</f>
        <v>0</v>
      </c>
      <c r="L114" s="45">
        <f>SUM(L94:L113)</f>
        <v>38717.319999999992</v>
      </c>
      <c r="M114" s="31"/>
      <c r="N114" s="29"/>
      <c r="O114" s="29"/>
      <c r="P114" s="29"/>
      <c r="Q114" s="29"/>
      <c r="R114" s="29"/>
      <c r="S114" s="72"/>
      <c r="T114" s="54">
        <f t="shared" si="18"/>
        <v>1499516.71</v>
      </c>
      <c r="U114" s="45"/>
      <c r="V114" s="66">
        <f t="shared" si="19"/>
        <v>1460799.39</v>
      </c>
      <c r="W114" s="74"/>
      <c r="X114" s="45"/>
      <c r="Y114" s="45"/>
      <c r="Z114" s="69">
        <f t="shared" si="32"/>
        <v>38717.319999999992</v>
      </c>
      <c r="AA114" s="71"/>
    </row>
    <row r="115" spans="1:27" s="38" customFormat="1" ht="25.5" customHeight="1" x14ac:dyDescent="0.25">
      <c r="A115" s="21" t="s">
        <v>96</v>
      </c>
      <c r="B115" s="22" t="s">
        <v>59</v>
      </c>
      <c r="C115" s="23">
        <v>244</v>
      </c>
      <c r="D115" s="24">
        <v>227</v>
      </c>
      <c r="E115" s="25">
        <f>G115+H115+L115</f>
        <v>889.4</v>
      </c>
      <c r="F115" s="26"/>
      <c r="G115" s="26"/>
      <c r="H115" s="26">
        <v>766.76</v>
      </c>
      <c r="I115" s="28"/>
      <c r="J115" s="26"/>
      <c r="K115" s="26"/>
      <c r="L115" s="26">
        <v>122.64</v>
      </c>
      <c r="M115" s="31"/>
      <c r="N115" s="27"/>
      <c r="O115" s="27"/>
      <c r="P115" s="27"/>
      <c r="Q115" s="27"/>
      <c r="R115" s="27"/>
      <c r="S115" s="32"/>
      <c r="T115" s="33">
        <f t="shared" si="18"/>
        <v>889.4</v>
      </c>
      <c r="U115" s="31"/>
      <c r="V115" s="34">
        <f t="shared" si="19"/>
        <v>766.76</v>
      </c>
      <c r="W115" s="35"/>
      <c r="X115" s="31"/>
      <c r="Y115" s="31"/>
      <c r="Z115" s="36">
        <f t="shared" si="32"/>
        <v>122.64</v>
      </c>
      <c r="AA115" s="37"/>
    </row>
    <row r="116" spans="1:27" s="50" customFormat="1" x14ac:dyDescent="0.25">
      <c r="A116" s="62" t="s">
        <v>52</v>
      </c>
      <c r="B116" s="63"/>
      <c r="C116" s="64"/>
      <c r="D116" s="65"/>
      <c r="E116" s="45">
        <f>F116+G116+H116+J116+K116+L116</f>
        <v>889.4</v>
      </c>
      <c r="F116" s="45">
        <f t="shared" ref="F116:G116" si="50">F115</f>
        <v>0</v>
      </c>
      <c r="G116" s="45">
        <f t="shared" si="50"/>
        <v>0</v>
      </c>
      <c r="H116" s="45">
        <f>H115</f>
        <v>766.76</v>
      </c>
      <c r="I116" s="28"/>
      <c r="J116" s="45">
        <f>SUM(J115)</f>
        <v>0</v>
      </c>
      <c r="K116" s="45">
        <f>SUM(K115)</f>
        <v>0</v>
      </c>
      <c r="L116" s="45">
        <f>SUM(L115)</f>
        <v>122.64</v>
      </c>
      <c r="M116" s="31"/>
      <c r="N116" s="29"/>
      <c r="O116" s="29"/>
      <c r="P116" s="29"/>
      <c r="Q116" s="29"/>
      <c r="R116" s="29"/>
      <c r="S116" s="72"/>
      <c r="T116" s="54">
        <f t="shared" si="18"/>
        <v>889.4</v>
      </c>
      <c r="U116" s="45"/>
      <c r="V116" s="66">
        <f t="shared" si="19"/>
        <v>766.76</v>
      </c>
      <c r="W116" s="74"/>
      <c r="X116" s="45"/>
      <c r="Y116" s="45"/>
      <c r="Z116" s="69">
        <f t="shared" si="32"/>
        <v>122.64</v>
      </c>
      <c r="AA116" s="71"/>
    </row>
    <row r="117" spans="1:27" s="38" customFormat="1" x14ac:dyDescent="0.25">
      <c r="A117" s="21"/>
      <c r="B117" s="22" t="s">
        <v>56</v>
      </c>
      <c r="C117" s="23">
        <v>244</v>
      </c>
      <c r="D117" s="24">
        <v>310</v>
      </c>
      <c r="E117" s="25">
        <f>H117+K117+L117+G117+F117</f>
        <v>0</v>
      </c>
      <c r="F117" s="26"/>
      <c r="G117" s="26"/>
      <c r="H117" s="26">
        <v>0</v>
      </c>
      <c r="I117" s="28"/>
      <c r="J117" s="31"/>
      <c r="K117" s="26"/>
      <c r="L117" s="29"/>
      <c r="M117" s="31"/>
      <c r="N117" s="27"/>
      <c r="O117" s="27"/>
      <c r="P117" s="27"/>
      <c r="Q117" s="27"/>
      <c r="R117" s="27"/>
      <c r="S117" s="32"/>
      <c r="T117" s="33">
        <f t="shared" si="18"/>
        <v>0</v>
      </c>
      <c r="U117" s="31"/>
      <c r="V117" s="34">
        <f t="shared" si="19"/>
        <v>0</v>
      </c>
      <c r="W117" s="44"/>
      <c r="X117" s="31"/>
      <c r="Y117" s="26"/>
      <c r="Z117" s="36">
        <f t="shared" si="32"/>
        <v>0</v>
      </c>
      <c r="AA117" s="37"/>
    </row>
    <row r="118" spans="1:27" s="38" customFormat="1" x14ac:dyDescent="0.25">
      <c r="A118" s="21" t="s">
        <v>107</v>
      </c>
      <c r="B118" s="22" t="s">
        <v>58</v>
      </c>
      <c r="C118" s="23">
        <v>244</v>
      </c>
      <c r="D118" s="24">
        <v>310</v>
      </c>
      <c r="E118" s="25">
        <f>H118+K118+L118+G118+F118</f>
        <v>54990</v>
      </c>
      <c r="F118" s="26"/>
      <c r="G118" s="26"/>
      <c r="H118" s="31"/>
      <c r="I118" s="28">
        <v>963323050</v>
      </c>
      <c r="J118" s="31"/>
      <c r="K118" s="26">
        <v>54990</v>
      </c>
      <c r="L118" s="29"/>
      <c r="M118" s="31"/>
      <c r="N118" s="27"/>
      <c r="O118" s="27"/>
      <c r="P118" s="27"/>
      <c r="Q118" s="27"/>
      <c r="R118" s="27"/>
      <c r="S118" s="32"/>
      <c r="T118" s="33">
        <f t="shared" ref="T118" si="51">E118</f>
        <v>54990</v>
      </c>
      <c r="U118" s="31"/>
      <c r="V118" s="34">
        <f t="shared" ref="V118" si="52">H118</f>
        <v>0</v>
      </c>
      <c r="W118" s="73"/>
      <c r="X118" s="31"/>
      <c r="Y118" s="26"/>
      <c r="Z118" s="36">
        <f t="shared" ref="Z118" si="53">L118</f>
        <v>0</v>
      </c>
      <c r="AA118" s="37"/>
    </row>
    <row r="119" spans="1:27" s="38" customFormat="1" x14ac:dyDescent="0.25">
      <c r="A119" s="21" t="s">
        <v>108</v>
      </c>
      <c r="B119" s="22" t="s">
        <v>58</v>
      </c>
      <c r="C119" s="23">
        <v>244</v>
      </c>
      <c r="D119" s="24">
        <v>310</v>
      </c>
      <c r="E119" s="25">
        <f>H119+K119+L119+G119+F119</f>
        <v>24000</v>
      </c>
      <c r="F119" s="26"/>
      <c r="G119" s="26"/>
      <c r="H119" s="31"/>
      <c r="I119" s="28">
        <v>963323050</v>
      </c>
      <c r="J119" s="31"/>
      <c r="K119" s="26">
        <v>24000</v>
      </c>
      <c r="L119" s="29"/>
      <c r="M119" s="31"/>
      <c r="N119" s="27"/>
      <c r="O119" s="27"/>
      <c r="P119" s="27"/>
      <c r="Q119" s="27"/>
      <c r="R119" s="27"/>
      <c r="S119" s="32"/>
      <c r="T119" s="33">
        <f t="shared" si="18"/>
        <v>24000</v>
      </c>
      <c r="U119" s="31"/>
      <c r="V119" s="34">
        <f t="shared" si="19"/>
        <v>0</v>
      </c>
      <c r="W119" s="73"/>
      <c r="X119" s="31"/>
      <c r="Y119" s="26"/>
      <c r="Z119" s="36">
        <f t="shared" si="32"/>
        <v>0</v>
      </c>
      <c r="AA119" s="37"/>
    </row>
    <row r="120" spans="1:27" s="38" customFormat="1" ht="15.75" customHeight="1" x14ac:dyDescent="0.25">
      <c r="A120" s="21"/>
      <c r="B120" s="22"/>
      <c r="C120" s="23"/>
      <c r="D120" s="24"/>
      <c r="E120" s="25">
        <f t="shared" ref="E120" si="54">H120+K120+L120</f>
        <v>0</v>
      </c>
      <c r="F120" s="26"/>
      <c r="G120" s="31"/>
      <c r="H120" s="31"/>
      <c r="I120" s="28"/>
      <c r="J120" s="31"/>
      <c r="K120" s="26"/>
      <c r="L120" s="66"/>
      <c r="M120" s="31"/>
      <c r="N120" s="27"/>
      <c r="O120" s="27"/>
      <c r="P120" s="27"/>
      <c r="Q120" s="27"/>
      <c r="R120" s="27"/>
      <c r="S120" s="32"/>
      <c r="T120" s="33">
        <f t="shared" si="18"/>
        <v>0</v>
      </c>
      <c r="U120" s="31"/>
      <c r="V120" s="34">
        <f t="shared" si="19"/>
        <v>0</v>
      </c>
      <c r="W120" s="44"/>
      <c r="X120" s="31"/>
      <c r="Y120" s="26"/>
      <c r="Z120" s="36">
        <f t="shared" si="32"/>
        <v>0</v>
      </c>
      <c r="AA120" s="37"/>
    </row>
    <row r="121" spans="1:27" s="50" customFormat="1" ht="29.25" customHeight="1" x14ac:dyDescent="0.25">
      <c r="A121" s="62" t="s">
        <v>39</v>
      </c>
      <c r="B121" s="63"/>
      <c r="C121" s="64"/>
      <c r="D121" s="65"/>
      <c r="E121" s="45">
        <f>E117+E119+E120+E118</f>
        <v>78990</v>
      </c>
      <c r="F121" s="45"/>
      <c r="G121" s="45">
        <f>G117+G119+G120</f>
        <v>0</v>
      </c>
      <c r="H121" s="45">
        <f>H117+H119+H120</f>
        <v>0</v>
      </c>
      <c r="I121" s="28">
        <v>963323050</v>
      </c>
      <c r="J121" s="45"/>
      <c r="K121" s="45">
        <f>K117+K119+K120+K118</f>
        <v>78990</v>
      </c>
      <c r="L121" s="45">
        <f>L117+L119+L120</f>
        <v>0</v>
      </c>
      <c r="M121" s="31"/>
      <c r="N121" s="29"/>
      <c r="O121" s="29"/>
      <c r="P121" s="29"/>
      <c r="Q121" s="29"/>
      <c r="R121" s="29"/>
      <c r="S121" s="72"/>
      <c r="T121" s="54">
        <f t="shared" si="18"/>
        <v>78990</v>
      </c>
      <c r="U121" s="45"/>
      <c r="V121" s="66">
        <f t="shared" si="19"/>
        <v>0</v>
      </c>
      <c r="W121" s="74"/>
      <c r="X121" s="45"/>
      <c r="Y121" s="45"/>
      <c r="Z121" s="69">
        <f t="shared" si="32"/>
        <v>0</v>
      </c>
      <c r="AA121" s="71"/>
    </row>
    <row r="122" spans="1:27" s="38" customFormat="1" ht="25.5" x14ac:dyDescent="0.25">
      <c r="A122" s="21" t="s">
        <v>75</v>
      </c>
      <c r="B122" s="22" t="s">
        <v>56</v>
      </c>
      <c r="C122" s="23">
        <v>244</v>
      </c>
      <c r="D122" s="24">
        <v>342</v>
      </c>
      <c r="E122" s="25">
        <f>F122+G122+H122+J122+K122+L122</f>
        <v>1071000</v>
      </c>
      <c r="F122" s="26"/>
      <c r="G122" s="26"/>
      <c r="H122" s="26">
        <f>82185.7+30717.65+67817.05+105379.6</f>
        <v>286100</v>
      </c>
      <c r="I122" s="28"/>
      <c r="J122" s="31"/>
      <c r="K122" s="26"/>
      <c r="L122" s="26">
        <f>485500+299400</f>
        <v>784900</v>
      </c>
      <c r="M122" s="31"/>
      <c r="N122" s="27"/>
      <c r="O122" s="27"/>
      <c r="P122" s="27"/>
      <c r="Q122" s="27"/>
      <c r="R122" s="27"/>
      <c r="S122" s="32"/>
      <c r="T122" s="33">
        <f t="shared" si="18"/>
        <v>1071000</v>
      </c>
      <c r="U122" s="31"/>
      <c r="V122" s="34">
        <f t="shared" si="19"/>
        <v>286100</v>
      </c>
      <c r="W122" s="35"/>
      <c r="X122" s="31"/>
      <c r="Y122" s="26"/>
      <c r="Z122" s="36">
        <f t="shared" si="32"/>
        <v>784900</v>
      </c>
      <c r="AA122" s="37"/>
    </row>
    <row r="123" spans="1:27" s="38" customFormat="1" ht="25.5" x14ac:dyDescent="0.25">
      <c r="A123" s="21" t="s">
        <v>75</v>
      </c>
      <c r="B123" s="22" t="s">
        <v>57</v>
      </c>
      <c r="C123" s="23">
        <v>244</v>
      </c>
      <c r="D123" s="24">
        <v>342</v>
      </c>
      <c r="E123" s="25">
        <f>F123+G123+H123+J123+K123+L123</f>
        <v>0</v>
      </c>
      <c r="F123" s="26"/>
      <c r="G123" s="26"/>
      <c r="H123" s="31"/>
      <c r="I123" s="28"/>
      <c r="J123" s="31"/>
      <c r="K123" s="26"/>
      <c r="L123" s="26"/>
      <c r="M123" s="31"/>
      <c r="N123" s="27"/>
      <c r="O123" s="27"/>
      <c r="P123" s="27"/>
      <c r="Q123" s="27"/>
      <c r="R123" s="27"/>
      <c r="S123" s="32"/>
      <c r="T123" s="33">
        <f t="shared" si="18"/>
        <v>0</v>
      </c>
      <c r="U123" s="31"/>
      <c r="V123" s="34">
        <f t="shared" si="19"/>
        <v>0</v>
      </c>
      <c r="W123" s="35"/>
      <c r="X123" s="31"/>
      <c r="Y123" s="26"/>
      <c r="Z123" s="36">
        <f t="shared" si="32"/>
        <v>0</v>
      </c>
      <c r="AA123" s="37"/>
    </row>
    <row r="124" spans="1:27" s="50" customFormat="1" ht="26.25" customHeight="1" x14ac:dyDescent="0.25">
      <c r="A124" s="62" t="s">
        <v>77</v>
      </c>
      <c r="B124" s="63"/>
      <c r="C124" s="64"/>
      <c r="D124" s="65"/>
      <c r="E124" s="45">
        <f>E122+E123</f>
        <v>1071000</v>
      </c>
      <c r="F124" s="45">
        <f t="shared" ref="F124:G124" si="55">F122+F123</f>
        <v>0</v>
      </c>
      <c r="G124" s="45">
        <f t="shared" si="55"/>
        <v>0</v>
      </c>
      <c r="H124" s="45">
        <f>H122+H123</f>
        <v>286100</v>
      </c>
      <c r="I124" s="28"/>
      <c r="J124" s="45">
        <f t="shared" ref="J124:K124" si="56">J122+J123</f>
        <v>0</v>
      </c>
      <c r="K124" s="45">
        <f t="shared" si="56"/>
        <v>0</v>
      </c>
      <c r="L124" s="45">
        <f>L122+L123</f>
        <v>784900</v>
      </c>
      <c r="M124" s="31"/>
      <c r="N124" s="29"/>
      <c r="O124" s="29"/>
      <c r="P124" s="29"/>
      <c r="Q124" s="29"/>
      <c r="R124" s="29"/>
      <c r="S124" s="72"/>
      <c r="T124" s="54">
        <f t="shared" si="18"/>
        <v>1071000</v>
      </c>
      <c r="U124" s="45"/>
      <c r="V124" s="66">
        <f t="shared" si="19"/>
        <v>286100</v>
      </c>
      <c r="W124" s="74"/>
      <c r="X124" s="45"/>
      <c r="Y124" s="45"/>
      <c r="Z124" s="69">
        <f t="shared" si="32"/>
        <v>784900</v>
      </c>
      <c r="AA124" s="71"/>
    </row>
    <row r="125" spans="1:27" s="38" customFormat="1" ht="25.5" x14ac:dyDescent="0.25">
      <c r="A125" s="21" t="s">
        <v>76</v>
      </c>
      <c r="B125" s="22" t="s">
        <v>58</v>
      </c>
      <c r="C125" s="23">
        <v>244</v>
      </c>
      <c r="D125" s="24">
        <v>343</v>
      </c>
      <c r="E125" s="25">
        <f>F125+G125+H125+J125+K125+L125</f>
        <v>0</v>
      </c>
      <c r="F125" s="26"/>
      <c r="G125" s="26"/>
      <c r="H125" s="31"/>
      <c r="I125" s="28"/>
      <c r="J125" s="31"/>
      <c r="K125" s="26"/>
      <c r="L125" s="31"/>
      <c r="M125" s="31"/>
      <c r="N125" s="27"/>
      <c r="O125" s="27"/>
      <c r="P125" s="27"/>
      <c r="Q125" s="27"/>
      <c r="R125" s="27"/>
      <c r="S125" s="32"/>
      <c r="T125" s="33">
        <f t="shared" si="18"/>
        <v>0</v>
      </c>
      <c r="U125" s="31"/>
      <c r="V125" s="34">
        <f t="shared" si="19"/>
        <v>0</v>
      </c>
      <c r="W125" s="35"/>
      <c r="X125" s="31"/>
      <c r="Y125" s="26"/>
      <c r="Z125" s="36">
        <f t="shared" si="32"/>
        <v>0</v>
      </c>
      <c r="AA125" s="37"/>
    </row>
    <row r="126" spans="1:27" s="50" customFormat="1" ht="21.75" customHeight="1" x14ac:dyDescent="0.25">
      <c r="A126" s="62" t="s">
        <v>78</v>
      </c>
      <c r="B126" s="63"/>
      <c r="C126" s="64"/>
      <c r="D126" s="65"/>
      <c r="E126" s="45">
        <f>SUM(E125)</f>
        <v>0</v>
      </c>
      <c r="F126" s="45">
        <f t="shared" ref="F126:L126" si="57">SUM(F125)</f>
        <v>0</v>
      </c>
      <c r="G126" s="45">
        <f t="shared" si="57"/>
        <v>0</v>
      </c>
      <c r="H126" s="45">
        <f t="shared" si="57"/>
        <v>0</v>
      </c>
      <c r="I126" s="28"/>
      <c r="J126" s="45">
        <f t="shared" si="57"/>
        <v>0</v>
      </c>
      <c r="K126" s="45">
        <f t="shared" si="57"/>
        <v>0</v>
      </c>
      <c r="L126" s="45">
        <f t="shared" si="57"/>
        <v>0</v>
      </c>
      <c r="M126" s="31"/>
      <c r="N126" s="29"/>
      <c r="O126" s="29"/>
      <c r="P126" s="29"/>
      <c r="Q126" s="29"/>
      <c r="R126" s="29"/>
      <c r="S126" s="72"/>
      <c r="T126" s="54">
        <f t="shared" si="18"/>
        <v>0</v>
      </c>
      <c r="U126" s="31"/>
      <c r="V126" s="66">
        <f t="shared" si="19"/>
        <v>0</v>
      </c>
      <c r="W126" s="35"/>
      <c r="X126" s="31"/>
      <c r="Y126" s="31"/>
      <c r="Z126" s="69">
        <f t="shared" si="32"/>
        <v>0</v>
      </c>
      <c r="AA126" s="71"/>
    </row>
    <row r="127" spans="1:27" s="38" customFormat="1" ht="18.75" customHeight="1" x14ac:dyDescent="0.25">
      <c r="A127" s="21" t="s">
        <v>79</v>
      </c>
      <c r="B127" s="22" t="s">
        <v>56</v>
      </c>
      <c r="C127" s="23">
        <v>244</v>
      </c>
      <c r="D127" s="24">
        <v>345</v>
      </c>
      <c r="E127" s="25">
        <f>F127+G127+H127+J127+K127+L127</f>
        <v>0</v>
      </c>
      <c r="F127" s="26"/>
      <c r="G127" s="26"/>
      <c r="H127" s="31"/>
      <c r="I127" s="28"/>
      <c r="J127" s="31"/>
      <c r="K127" s="26"/>
      <c r="L127" s="31"/>
      <c r="M127" s="31"/>
      <c r="N127" s="27"/>
      <c r="O127" s="27"/>
      <c r="P127" s="27"/>
      <c r="Q127" s="27"/>
      <c r="R127" s="27"/>
      <c r="S127" s="32"/>
      <c r="T127" s="33">
        <f t="shared" si="18"/>
        <v>0</v>
      </c>
      <c r="U127" s="31"/>
      <c r="V127" s="34">
        <f t="shared" si="19"/>
        <v>0</v>
      </c>
      <c r="W127" s="35"/>
      <c r="X127" s="31"/>
      <c r="Y127" s="26"/>
      <c r="Z127" s="36">
        <f t="shared" si="32"/>
        <v>0</v>
      </c>
      <c r="AA127" s="37"/>
    </row>
    <row r="128" spans="1:27" s="50" customFormat="1" ht="26.25" customHeight="1" x14ac:dyDescent="0.25">
      <c r="A128" s="62" t="s">
        <v>40</v>
      </c>
      <c r="B128" s="63"/>
      <c r="C128" s="64"/>
      <c r="D128" s="65"/>
      <c r="E128" s="45">
        <f>SUM(E127)</f>
        <v>0</v>
      </c>
      <c r="F128" s="45">
        <f>SUM(F127)</f>
        <v>0</v>
      </c>
      <c r="G128" s="45">
        <f>SUM(G127)</f>
        <v>0</v>
      </c>
      <c r="H128" s="45">
        <f>SUM(H127)</f>
        <v>0</v>
      </c>
      <c r="I128" s="28"/>
      <c r="J128" s="45">
        <f>SUM(J127)</f>
        <v>0</v>
      </c>
      <c r="K128" s="45">
        <f t="shared" ref="K128:L128" si="58">SUM(K127)</f>
        <v>0</v>
      </c>
      <c r="L128" s="45">
        <f t="shared" si="58"/>
        <v>0</v>
      </c>
      <c r="M128" s="31"/>
      <c r="N128" s="29"/>
      <c r="O128" s="29"/>
      <c r="P128" s="29"/>
      <c r="Q128" s="29"/>
      <c r="R128" s="29"/>
      <c r="S128" s="72"/>
      <c r="T128" s="54">
        <f t="shared" si="18"/>
        <v>0</v>
      </c>
      <c r="U128" s="45"/>
      <c r="V128" s="66">
        <f t="shared" si="19"/>
        <v>0</v>
      </c>
      <c r="W128" s="74"/>
      <c r="X128" s="45"/>
      <c r="Y128" s="45"/>
      <c r="Z128" s="69">
        <f t="shared" si="32"/>
        <v>0</v>
      </c>
      <c r="AA128" s="71"/>
    </row>
    <row r="129" spans="1:27" s="38" customFormat="1" ht="26.25" customHeight="1" x14ac:dyDescent="0.25">
      <c r="A129" s="21" t="s">
        <v>94</v>
      </c>
      <c r="B129" s="22" t="s">
        <v>59</v>
      </c>
      <c r="C129" s="23">
        <v>244</v>
      </c>
      <c r="D129" s="24">
        <v>346</v>
      </c>
      <c r="E129" s="25">
        <f>H129+K129+L129+G129+F129</f>
        <v>2317.5299999999997</v>
      </c>
      <c r="F129" s="31"/>
      <c r="G129" s="26"/>
      <c r="H129" s="26">
        <v>2021.51</v>
      </c>
      <c r="I129" s="28"/>
      <c r="J129" s="31"/>
      <c r="K129" s="31"/>
      <c r="L129" s="26">
        <v>296.02</v>
      </c>
      <c r="M129" s="31"/>
      <c r="N129" s="27"/>
      <c r="O129" s="27"/>
      <c r="P129" s="27"/>
      <c r="Q129" s="27"/>
      <c r="R129" s="27"/>
      <c r="S129" s="32"/>
      <c r="T129" s="33">
        <f t="shared" si="18"/>
        <v>2317.5299999999997</v>
      </c>
      <c r="U129" s="31"/>
      <c r="V129" s="34">
        <f t="shared" si="19"/>
        <v>2021.51</v>
      </c>
      <c r="W129" s="35"/>
      <c r="X129" s="31"/>
      <c r="Y129" s="31"/>
      <c r="Z129" s="36">
        <f t="shared" si="32"/>
        <v>296.02</v>
      </c>
      <c r="AA129" s="37"/>
    </row>
    <row r="130" spans="1:27" s="38" customFormat="1" ht="26.25" customHeight="1" x14ac:dyDescent="0.25">
      <c r="A130" s="21" t="s">
        <v>94</v>
      </c>
      <c r="B130" s="22" t="s">
        <v>63</v>
      </c>
      <c r="C130" s="23">
        <v>244</v>
      </c>
      <c r="D130" s="24">
        <v>346</v>
      </c>
      <c r="E130" s="25">
        <f>H130+K130+L130+G130+F130</f>
        <v>2560</v>
      </c>
      <c r="F130" s="31"/>
      <c r="G130" s="26"/>
      <c r="H130" s="26"/>
      <c r="I130" s="28">
        <v>963323097</v>
      </c>
      <c r="J130" s="31"/>
      <c r="K130" s="34">
        <v>2560</v>
      </c>
      <c r="L130" s="26"/>
      <c r="M130" s="31"/>
      <c r="N130" s="27"/>
      <c r="O130" s="27"/>
      <c r="P130" s="27"/>
      <c r="Q130" s="27"/>
      <c r="R130" s="27"/>
      <c r="S130" s="32"/>
      <c r="T130" s="33">
        <f t="shared" si="18"/>
        <v>2560</v>
      </c>
      <c r="U130" s="31"/>
      <c r="V130" s="34">
        <f t="shared" si="19"/>
        <v>0</v>
      </c>
      <c r="W130" s="35"/>
      <c r="X130" s="31"/>
      <c r="Y130" s="31"/>
      <c r="Z130" s="36">
        <f t="shared" si="32"/>
        <v>0</v>
      </c>
      <c r="AA130" s="37"/>
    </row>
    <row r="131" spans="1:27" s="38" customFormat="1" ht="26.25" customHeight="1" x14ac:dyDescent="0.25">
      <c r="A131" s="21" t="s">
        <v>95</v>
      </c>
      <c r="B131" s="22" t="s">
        <v>59</v>
      </c>
      <c r="C131" s="23">
        <v>244</v>
      </c>
      <c r="D131" s="24">
        <v>346</v>
      </c>
      <c r="E131" s="25">
        <f>H131+K130+L131+G131+F131</f>
        <v>5539.59</v>
      </c>
      <c r="F131" s="31"/>
      <c r="G131" s="26"/>
      <c r="H131" s="26">
        <v>2598.9899999999998</v>
      </c>
      <c r="I131" s="28"/>
      <c r="J131" s="31"/>
      <c r="K131" s="23"/>
      <c r="L131" s="26">
        <v>380.6</v>
      </c>
      <c r="M131" s="31"/>
      <c r="N131" s="27"/>
      <c r="O131" s="27"/>
      <c r="P131" s="27"/>
      <c r="Q131" s="27"/>
      <c r="R131" s="27"/>
      <c r="S131" s="32"/>
      <c r="T131" s="33">
        <f t="shared" si="18"/>
        <v>5539.59</v>
      </c>
      <c r="U131" s="31"/>
      <c r="V131" s="34">
        <f t="shared" si="19"/>
        <v>2598.9899999999998</v>
      </c>
      <c r="W131" s="35"/>
      <c r="X131" s="31"/>
      <c r="Y131" s="31"/>
      <c r="Z131" s="36">
        <f t="shared" si="32"/>
        <v>380.6</v>
      </c>
      <c r="AA131" s="37"/>
    </row>
    <row r="132" spans="1:27" s="38" customFormat="1" ht="27" customHeight="1" x14ac:dyDescent="0.25">
      <c r="A132" s="21" t="s">
        <v>98</v>
      </c>
      <c r="B132" s="22" t="s">
        <v>56</v>
      </c>
      <c r="C132" s="23">
        <v>244</v>
      </c>
      <c r="D132" s="24">
        <v>346</v>
      </c>
      <c r="E132" s="25">
        <f t="shared" ref="E132:E135" si="59">H132+K132+L132+G132+F132</f>
        <v>51771.96</v>
      </c>
      <c r="F132" s="26"/>
      <c r="G132" s="26"/>
      <c r="H132" s="26">
        <f>5000+46771.96</f>
        <v>51771.96</v>
      </c>
      <c r="I132" s="28"/>
      <c r="J132" s="26"/>
      <c r="K132" s="26"/>
      <c r="L132" s="26"/>
      <c r="M132" s="31"/>
      <c r="N132" s="27"/>
      <c r="O132" s="27"/>
      <c r="P132" s="27"/>
      <c r="Q132" s="27"/>
      <c r="R132" s="27"/>
      <c r="S132" s="32"/>
      <c r="T132" s="33">
        <f t="shared" si="18"/>
        <v>51771.96</v>
      </c>
      <c r="U132" s="31"/>
      <c r="V132" s="34">
        <f t="shared" si="19"/>
        <v>51771.96</v>
      </c>
      <c r="W132" s="35"/>
      <c r="X132" s="31"/>
      <c r="Y132" s="31"/>
      <c r="Z132" s="36">
        <f t="shared" si="32"/>
        <v>0</v>
      </c>
      <c r="AA132" s="37"/>
    </row>
    <row r="133" spans="1:27" s="38" customFormat="1" ht="22.5" customHeight="1" x14ac:dyDescent="0.25">
      <c r="A133" s="21" t="s">
        <v>98</v>
      </c>
      <c r="B133" s="22" t="s">
        <v>58</v>
      </c>
      <c r="C133" s="23">
        <v>244</v>
      </c>
      <c r="D133" s="24">
        <v>346</v>
      </c>
      <c r="E133" s="25">
        <f t="shared" si="59"/>
        <v>55886.04</v>
      </c>
      <c r="F133" s="26"/>
      <c r="G133" s="26"/>
      <c r="H133" s="26">
        <f>17886.04+3000+5000+27000+3000</f>
        <v>55886.04</v>
      </c>
      <c r="I133" s="28"/>
      <c r="J133" s="26"/>
      <c r="K133" s="26"/>
      <c r="L133" s="26"/>
      <c r="M133" s="31"/>
      <c r="N133" s="27"/>
      <c r="O133" s="27"/>
      <c r="P133" s="27"/>
      <c r="Q133" s="27"/>
      <c r="R133" s="27"/>
      <c r="S133" s="32"/>
      <c r="T133" s="33">
        <f t="shared" si="18"/>
        <v>55886.04</v>
      </c>
      <c r="U133" s="31"/>
      <c r="V133" s="34">
        <f t="shared" si="19"/>
        <v>55886.04</v>
      </c>
      <c r="W133" s="35"/>
      <c r="X133" s="31"/>
      <c r="Y133" s="31"/>
      <c r="Z133" s="36">
        <f t="shared" si="32"/>
        <v>0</v>
      </c>
      <c r="AA133" s="37"/>
    </row>
    <row r="134" spans="1:27" s="38" customFormat="1" ht="22.5" customHeight="1" x14ac:dyDescent="0.25">
      <c r="A134" s="21" t="s">
        <v>119</v>
      </c>
      <c r="B134" s="22" t="s">
        <v>56</v>
      </c>
      <c r="C134" s="23">
        <v>244</v>
      </c>
      <c r="D134" s="24">
        <v>346</v>
      </c>
      <c r="E134" s="25">
        <f t="shared" si="59"/>
        <v>0</v>
      </c>
      <c r="F134" s="26"/>
      <c r="G134" s="26"/>
      <c r="H134" s="26">
        <v>0</v>
      </c>
      <c r="I134" s="28"/>
      <c r="J134" s="26"/>
      <c r="K134" s="26"/>
      <c r="L134" s="26"/>
      <c r="M134" s="31"/>
      <c r="N134" s="27"/>
      <c r="O134" s="27"/>
      <c r="P134" s="27"/>
      <c r="Q134" s="27"/>
      <c r="R134" s="27"/>
      <c r="S134" s="32"/>
      <c r="T134" s="33">
        <f t="shared" si="18"/>
        <v>0</v>
      </c>
      <c r="U134" s="31"/>
      <c r="V134" s="34">
        <f t="shared" si="19"/>
        <v>0</v>
      </c>
      <c r="W134" s="35"/>
      <c r="X134" s="31"/>
      <c r="Y134" s="31"/>
      <c r="Z134" s="36">
        <f t="shared" si="32"/>
        <v>0</v>
      </c>
      <c r="AA134" s="37"/>
    </row>
    <row r="135" spans="1:27" s="38" customFormat="1" ht="24" customHeight="1" x14ac:dyDescent="0.25">
      <c r="A135" s="21" t="s">
        <v>99</v>
      </c>
      <c r="B135" s="22"/>
      <c r="C135" s="23"/>
      <c r="D135" s="24"/>
      <c r="E135" s="25">
        <f t="shared" si="59"/>
        <v>0</v>
      </c>
      <c r="F135" s="26"/>
      <c r="G135" s="26"/>
      <c r="H135" s="26">
        <v>0</v>
      </c>
      <c r="I135" s="28"/>
      <c r="J135" s="26"/>
      <c r="K135" s="26"/>
      <c r="L135" s="26"/>
      <c r="M135" s="31"/>
      <c r="N135" s="27"/>
      <c r="O135" s="27"/>
      <c r="P135" s="27"/>
      <c r="Q135" s="27"/>
      <c r="R135" s="27"/>
      <c r="S135" s="32"/>
      <c r="T135" s="33">
        <f t="shared" si="18"/>
        <v>0</v>
      </c>
      <c r="U135" s="31"/>
      <c r="V135" s="34">
        <f t="shared" si="19"/>
        <v>0</v>
      </c>
      <c r="W135" s="35"/>
      <c r="X135" s="31"/>
      <c r="Y135" s="31"/>
      <c r="Z135" s="36">
        <f t="shared" si="32"/>
        <v>0</v>
      </c>
      <c r="AA135" s="37"/>
    </row>
    <row r="136" spans="1:27" s="38" customFormat="1" ht="14.25" customHeight="1" x14ac:dyDescent="0.25">
      <c r="A136" s="21"/>
      <c r="B136" s="22" t="s">
        <v>56</v>
      </c>
      <c r="C136" s="23">
        <v>244</v>
      </c>
      <c r="D136" s="24">
        <v>346</v>
      </c>
      <c r="E136" s="25">
        <f t="shared" ref="E136:E137" si="60">H136+K136+L136+G136+F136</f>
        <v>0</v>
      </c>
      <c r="F136" s="26"/>
      <c r="G136" s="26"/>
      <c r="H136" s="26">
        <v>0</v>
      </c>
      <c r="I136" s="28"/>
      <c r="J136" s="26"/>
      <c r="K136" s="26"/>
      <c r="L136" s="26"/>
      <c r="M136" s="31"/>
      <c r="N136" s="27"/>
      <c r="O136" s="27"/>
      <c r="P136" s="27"/>
      <c r="Q136" s="27"/>
      <c r="R136" s="27"/>
      <c r="S136" s="32"/>
      <c r="T136" s="33">
        <f t="shared" si="18"/>
        <v>0</v>
      </c>
      <c r="U136" s="31"/>
      <c r="V136" s="34">
        <f t="shared" si="19"/>
        <v>0</v>
      </c>
      <c r="W136" s="35"/>
      <c r="X136" s="31"/>
      <c r="Y136" s="31"/>
      <c r="Z136" s="36">
        <f t="shared" si="32"/>
        <v>0</v>
      </c>
      <c r="AA136" s="37"/>
    </row>
    <row r="137" spans="1:27" s="38" customFormat="1" ht="23.25" customHeight="1" x14ac:dyDescent="0.25">
      <c r="A137" s="21" t="s">
        <v>80</v>
      </c>
      <c r="B137" s="22" t="s">
        <v>58</v>
      </c>
      <c r="C137" s="23">
        <v>244</v>
      </c>
      <c r="D137" s="24">
        <v>346</v>
      </c>
      <c r="E137" s="25">
        <f t="shared" si="60"/>
        <v>0</v>
      </c>
      <c r="F137" s="26"/>
      <c r="G137" s="26"/>
      <c r="H137" s="26"/>
      <c r="I137" s="28"/>
      <c r="J137" s="26"/>
      <c r="K137" s="26"/>
      <c r="L137" s="26"/>
      <c r="M137" s="31"/>
      <c r="N137" s="27"/>
      <c r="O137" s="27"/>
      <c r="P137" s="27"/>
      <c r="Q137" s="27"/>
      <c r="R137" s="27"/>
      <c r="S137" s="32"/>
      <c r="T137" s="33">
        <f t="shared" si="18"/>
        <v>0</v>
      </c>
      <c r="U137" s="31"/>
      <c r="V137" s="34">
        <f t="shared" si="19"/>
        <v>0</v>
      </c>
      <c r="W137" s="35"/>
      <c r="X137" s="31"/>
      <c r="Y137" s="31"/>
      <c r="Z137" s="36">
        <f t="shared" si="32"/>
        <v>0</v>
      </c>
      <c r="AA137" s="37"/>
    </row>
    <row r="138" spans="1:27" s="38" customFormat="1" ht="30" customHeight="1" x14ac:dyDescent="0.25">
      <c r="A138" s="62" t="s">
        <v>41</v>
      </c>
      <c r="B138" s="22"/>
      <c r="C138" s="23"/>
      <c r="D138" s="24"/>
      <c r="E138" s="45">
        <f>SUM(E129:E137)</f>
        <v>118075.12</v>
      </c>
      <c r="F138" s="45">
        <f>SUM(F132:F137)</f>
        <v>0</v>
      </c>
      <c r="G138" s="45">
        <f>SUM(G129:G137)</f>
        <v>0</v>
      </c>
      <c r="H138" s="45">
        <f>SUM(H129:H137)</f>
        <v>112278.5</v>
      </c>
      <c r="I138" s="28">
        <v>963323097</v>
      </c>
      <c r="J138" s="45">
        <f>SUM(J132:J136)</f>
        <v>0</v>
      </c>
      <c r="K138" s="54">
        <f>SUM(K129:K137)</f>
        <v>2560</v>
      </c>
      <c r="L138" s="54">
        <f>SUM(L129:L137)</f>
        <v>676.62</v>
      </c>
      <c r="M138" s="31"/>
      <c r="N138" s="27"/>
      <c r="O138" s="27"/>
      <c r="P138" s="27"/>
      <c r="Q138" s="27"/>
      <c r="R138" s="27"/>
      <c r="S138" s="32"/>
      <c r="T138" s="54">
        <f t="shared" si="18"/>
        <v>118075.12</v>
      </c>
      <c r="U138" s="45"/>
      <c r="V138" s="34">
        <f t="shared" si="19"/>
        <v>112278.5</v>
      </c>
      <c r="W138" s="74"/>
      <c r="X138" s="45"/>
      <c r="Y138" s="45"/>
      <c r="Z138" s="36">
        <f t="shared" si="32"/>
        <v>676.62</v>
      </c>
      <c r="AA138" s="37"/>
    </row>
    <row r="139" spans="1:27" s="38" customFormat="1" ht="0.75" customHeight="1" x14ac:dyDescent="0.25">
      <c r="A139" s="21" t="s">
        <v>109</v>
      </c>
      <c r="B139" s="22" t="s">
        <v>58</v>
      </c>
      <c r="C139" s="23"/>
      <c r="D139" s="24"/>
      <c r="E139" s="45"/>
      <c r="F139" s="25"/>
      <c r="G139" s="25"/>
      <c r="H139" s="25">
        <v>0</v>
      </c>
      <c r="I139" s="28"/>
      <c r="J139" s="25"/>
      <c r="K139" s="25"/>
      <c r="L139" s="33"/>
      <c r="M139" s="26"/>
      <c r="N139" s="27"/>
      <c r="O139" s="27"/>
      <c r="P139" s="27"/>
      <c r="Q139" s="27"/>
      <c r="R139" s="27"/>
      <c r="S139" s="32"/>
      <c r="T139" s="33">
        <f t="shared" si="18"/>
        <v>0</v>
      </c>
      <c r="U139" s="25"/>
      <c r="V139" s="34">
        <f t="shared" si="19"/>
        <v>0</v>
      </c>
      <c r="W139" s="76"/>
      <c r="X139" s="25"/>
      <c r="Y139" s="25"/>
      <c r="Z139" s="36">
        <f t="shared" si="32"/>
        <v>0</v>
      </c>
      <c r="AA139" s="37"/>
    </row>
    <row r="140" spans="1:27" s="38" customFormat="1" ht="27.75" customHeight="1" x14ac:dyDescent="0.25">
      <c r="A140" s="62" t="s">
        <v>51</v>
      </c>
      <c r="B140" s="22"/>
      <c r="C140" s="23"/>
      <c r="D140" s="24"/>
      <c r="E140" s="45">
        <f>SUM(G140:H140,J140:K140)+F140</f>
        <v>0</v>
      </c>
      <c r="F140" s="45"/>
      <c r="G140" s="45">
        <f>G139</f>
        <v>0</v>
      </c>
      <c r="H140" s="45">
        <f>H139</f>
        <v>0</v>
      </c>
      <c r="I140" s="28"/>
      <c r="J140" s="45">
        <f>SUM(J139:J139)</f>
        <v>0</v>
      </c>
      <c r="K140" s="45">
        <f>SUM(K139:K139)</f>
        <v>0</v>
      </c>
      <c r="L140" s="54">
        <f>L138</f>
        <v>676.62</v>
      </c>
      <c r="M140" s="31"/>
      <c r="N140" s="27"/>
      <c r="O140" s="27"/>
      <c r="P140" s="27"/>
      <c r="Q140" s="27"/>
      <c r="R140" s="27"/>
      <c r="S140" s="32"/>
      <c r="T140" s="33">
        <f t="shared" si="18"/>
        <v>0</v>
      </c>
      <c r="U140" s="45"/>
      <c r="V140" s="34">
        <f t="shared" si="19"/>
        <v>0</v>
      </c>
      <c r="W140" s="74"/>
      <c r="X140" s="45"/>
      <c r="Y140" s="45"/>
      <c r="Z140" s="36">
        <f t="shared" si="32"/>
        <v>676.62</v>
      </c>
      <c r="AA140" s="37"/>
    </row>
    <row r="141" spans="1:27" s="38" customFormat="1" x14ac:dyDescent="0.25">
      <c r="A141" s="64" t="s">
        <v>17</v>
      </c>
      <c r="B141" s="22"/>
      <c r="C141" s="23"/>
      <c r="D141" s="24"/>
      <c r="E141" s="45">
        <f>SUM(G141:H141,J141:K141)+L141+F141</f>
        <v>8014504.2599999988</v>
      </c>
      <c r="F141" s="45">
        <f>F30+F42+F47+F55+F64+F93+F114+F121+F128+F138+F126+F124+F116+F37+F35+F33</f>
        <v>0</v>
      </c>
      <c r="G141" s="45">
        <f>G30+G42+G47+G55+G64+G93+G114+G121+G128+G138+G126+G124+G116+G37+G35+G33</f>
        <v>0</v>
      </c>
      <c r="H141" s="45">
        <f>H30+H42+H47+H55+H64+H93+H114+H121+H128+H138+H33+H35+H37+H140+H124+H116</f>
        <v>6631255.3699999992</v>
      </c>
      <c r="I141" s="28"/>
      <c r="J141" s="45">
        <f>J30+J42+J47+J55+J64+J93+J114+J121+J128+J138+J33+J35+J37+J140</f>
        <v>0</v>
      </c>
      <c r="K141" s="45">
        <f>K142+K143+K144</f>
        <v>228262.64</v>
      </c>
      <c r="L141" s="45">
        <f>L30+L42+L47+L55+L64+L93+L114+L121+L128+L138+L124+L37+L116</f>
        <v>1154986.25</v>
      </c>
      <c r="M141" s="31"/>
      <c r="N141" s="27"/>
      <c r="O141" s="27"/>
      <c r="P141" s="27"/>
      <c r="Q141" s="27"/>
      <c r="R141" s="27"/>
      <c r="S141" s="32"/>
      <c r="T141" s="54">
        <f t="shared" si="18"/>
        <v>8014504.2599999988</v>
      </c>
      <c r="U141" s="45"/>
      <c r="V141" s="34">
        <f t="shared" si="19"/>
        <v>6631255.3699999992</v>
      </c>
      <c r="W141" s="74"/>
      <c r="X141" s="45"/>
      <c r="Y141" s="45"/>
      <c r="Z141" s="36">
        <f t="shared" si="32"/>
        <v>1154986.25</v>
      </c>
      <c r="AA141" s="37"/>
    </row>
    <row r="142" spans="1:27" s="38" customFormat="1" x14ac:dyDescent="0.25">
      <c r="A142" s="64" t="s">
        <v>17</v>
      </c>
      <c r="B142" s="22" t="s">
        <v>56</v>
      </c>
      <c r="C142" s="23"/>
      <c r="D142" s="24"/>
      <c r="E142" s="31"/>
      <c r="F142" s="31">
        <f>F136+F134+F132+F127+F122+F117+F108+F87+F62+F60+F58+F54+F53+F52+F50+F45+F48+F43+F38+F31+F25+F20+F17+F13</f>
        <v>0</v>
      </c>
      <c r="G142" s="31">
        <f>G136+G134+G132+G127+G122+G117+G108+G87+G62+G60+G58+G54+G53+G52+G50+G45+G48+G43+G38+G31+G25</f>
        <v>0</v>
      </c>
      <c r="H142" s="31">
        <f>H136+H134+H132+H127+H122+H117+H108+H87+H62+H60+H58+H54+H53+H52+H50+H45+H48+H43+H38+H31+H25+H20+H56+H106+H105+H86+H85+H83+H82+H78+H77+H76</f>
        <v>3840729.9999999995</v>
      </c>
      <c r="I142" s="28">
        <v>963323044</v>
      </c>
      <c r="J142" s="31">
        <f>J136+J134+J132+J127+J122+J117+J108+J87+J62+J60+J58+J54+J53+J52+J50+J45+J48+J43+J38+J31+J25+J20+J17+J13</f>
        <v>0</v>
      </c>
      <c r="K142" s="31">
        <f>K25+K38</f>
        <v>87900</v>
      </c>
      <c r="L142" s="31">
        <f>L136+L134+L132+L127+L122+L117+L108+L87+L62+L60+L58+L54+L53+L52+L50+L45+L48+L43+L38+L31+L25+L20+L13</f>
        <v>784900</v>
      </c>
      <c r="M142" s="31"/>
      <c r="N142" s="27"/>
      <c r="O142" s="27"/>
      <c r="P142" s="27"/>
      <c r="Q142" s="27"/>
      <c r="R142" s="27"/>
      <c r="S142" s="32"/>
      <c r="T142" s="33">
        <f t="shared" si="18"/>
        <v>0</v>
      </c>
      <c r="U142" s="31"/>
      <c r="V142" s="34">
        <f t="shared" si="19"/>
        <v>3840729.9999999995</v>
      </c>
      <c r="W142" s="35"/>
      <c r="X142" s="31"/>
      <c r="Y142" s="31"/>
      <c r="Z142" s="36">
        <f t="shared" si="32"/>
        <v>784900</v>
      </c>
      <c r="AA142" s="37"/>
    </row>
    <row r="143" spans="1:27" s="38" customFormat="1" x14ac:dyDescent="0.25">
      <c r="A143" s="64" t="s">
        <v>17</v>
      </c>
      <c r="B143" s="22" t="s">
        <v>58</v>
      </c>
      <c r="C143" s="23"/>
      <c r="D143" s="24"/>
      <c r="E143" s="45"/>
      <c r="F143" s="31"/>
      <c r="G143" s="31">
        <f>G139+G137+G135+G133+G125+G119+G102+G101+G100+G75+G74+G73+G72+G71+G70+G69+G68+G67+G66+G63+G61+G59+G57+G51+G49+G46+G44+G39+G32+G26</f>
        <v>0</v>
      </c>
      <c r="H143" s="31">
        <f>H139+H137+H135+H133+H125+H119+H102+H101+H100+H75+H74+H73+H72+H71+H70+H69+H68+H67+H66+H63+H61+H59+H57+H51+H49+H46+H44+H39+H32+H26</f>
        <v>2172150</v>
      </c>
      <c r="I143" s="28">
        <f>I139+I137+I135+I133+I125+I119+I102+I101+I100+I75+I74+I73+I72+I71+I70+I69+I68+I67+I66+I63+I61+I59+I57+I51+I49+I46+I44+I39+I32+I26</f>
        <v>963323050</v>
      </c>
      <c r="J143" s="31">
        <f>J139+J137+J135+J133+J125+J119+J102+J101+J100+J75+J74+J73+J72+J71+J70+J69+J68+J67+J66+J63+J61+J59+J57+J51+J49+J46+J44+J39+J32+J26</f>
        <v>0</v>
      </c>
      <c r="K143" s="31">
        <f>K139+K137+K135+K133+K125+K119+K102+K101+K100+K75+K74+K73+K72+K71+K70+K69+K68+K67+K66+K63+K61+K59+K57+K51+K49+K46+K44+K39+K32+K26+K118</f>
        <v>78990</v>
      </c>
      <c r="L143" s="31">
        <f>L139+L137+L135+L133+L125+L119+L102+L101+L100+L75+L74+L73+L72+L71+L70+L69+L68+L67+L66+L63+L61+L59+L57+L51+L49+L46+L44+L39+L32+L26</f>
        <v>322886.25</v>
      </c>
      <c r="M143" s="31"/>
      <c r="N143" s="27"/>
      <c r="O143" s="27"/>
      <c r="P143" s="27"/>
      <c r="Q143" s="27"/>
      <c r="R143" s="27"/>
      <c r="S143" s="32"/>
      <c r="T143" s="33">
        <f t="shared" si="18"/>
        <v>0</v>
      </c>
      <c r="U143" s="31"/>
      <c r="V143" s="34">
        <f t="shared" si="19"/>
        <v>2172150</v>
      </c>
      <c r="W143" s="35"/>
      <c r="X143" s="31"/>
      <c r="Y143" s="31"/>
      <c r="Z143" s="36">
        <f t="shared" si="32"/>
        <v>322886.25</v>
      </c>
      <c r="AA143" s="37"/>
    </row>
    <row r="144" spans="1:27" s="38" customFormat="1" x14ac:dyDescent="0.25">
      <c r="A144" s="64" t="s">
        <v>17</v>
      </c>
      <c r="B144" s="22" t="s">
        <v>63</v>
      </c>
      <c r="C144" s="23"/>
      <c r="D144" s="24"/>
      <c r="E144" s="45"/>
      <c r="F144" s="31"/>
      <c r="G144" s="31"/>
      <c r="H144" s="31"/>
      <c r="I144" s="28">
        <v>963323097</v>
      </c>
      <c r="J144" s="31"/>
      <c r="K144" s="31">
        <f>K138+K41+K27</f>
        <v>61372.639999999999</v>
      </c>
      <c r="L144" s="31"/>
      <c r="M144" s="31"/>
      <c r="N144" s="27"/>
      <c r="O144" s="27"/>
      <c r="P144" s="27"/>
      <c r="Q144" s="27"/>
      <c r="R144" s="27"/>
      <c r="S144" s="32"/>
      <c r="T144" s="33">
        <f t="shared" si="18"/>
        <v>0</v>
      </c>
      <c r="U144" s="31"/>
      <c r="V144" s="34">
        <f t="shared" si="19"/>
        <v>0</v>
      </c>
      <c r="W144" s="35"/>
      <c r="X144" s="31"/>
      <c r="Y144" s="31"/>
      <c r="Z144" s="36">
        <f t="shared" si="32"/>
        <v>0</v>
      </c>
      <c r="AA144" s="37"/>
    </row>
    <row r="145" spans="1:27" s="38" customFormat="1" ht="25.5" customHeight="1" thickBot="1" x14ac:dyDescent="0.3">
      <c r="A145" s="77"/>
      <c r="B145" s="78"/>
      <c r="C145" s="79"/>
      <c r="D145" s="80">
        <v>189</v>
      </c>
      <c r="E145" s="25">
        <f>H145+K145+L145</f>
        <v>0</v>
      </c>
      <c r="F145" s="26"/>
      <c r="G145" s="26"/>
      <c r="H145" s="26"/>
      <c r="I145" s="28"/>
      <c r="J145" s="26"/>
      <c r="K145" s="26"/>
      <c r="L145" s="27"/>
      <c r="M145" s="31"/>
      <c r="N145" s="27"/>
      <c r="O145" s="27"/>
      <c r="P145" s="27"/>
      <c r="Q145" s="27"/>
      <c r="R145" s="27"/>
      <c r="S145" s="32"/>
      <c r="T145" s="25">
        <f t="shared" si="18"/>
        <v>0</v>
      </c>
      <c r="U145" s="26"/>
      <c r="V145" s="27">
        <f t="shared" si="19"/>
        <v>0</v>
      </c>
      <c r="W145" s="73"/>
      <c r="X145" s="26"/>
      <c r="Y145" s="26"/>
      <c r="Z145" s="32">
        <f t="shared" si="32"/>
        <v>0</v>
      </c>
      <c r="AA145" s="81"/>
    </row>
    <row r="146" spans="1:27" s="50" customFormat="1" ht="16.5" thickBot="1" x14ac:dyDescent="0.3">
      <c r="A146" s="82" t="s">
        <v>42</v>
      </c>
      <c r="B146" s="83"/>
      <c r="C146" s="84"/>
      <c r="D146" s="85"/>
      <c r="E146" s="86">
        <f>E145</f>
        <v>0</v>
      </c>
      <c r="F146" s="86"/>
      <c r="G146" s="86">
        <f t="shared" ref="G146:L146" si="61">G145</f>
        <v>0</v>
      </c>
      <c r="H146" s="86">
        <f t="shared" si="61"/>
        <v>0</v>
      </c>
      <c r="I146" s="87"/>
      <c r="J146" s="86"/>
      <c r="K146" s="86">
        <f t="shared" si="61"/>
        <v>0</v>
      </c>
      <c r="L146" s="86">
        <f t="shared" si="61"/>
        <v>0</v>
      </c>
      <c r="M146" s="88">
        <f>SUM(M25:M40)</f>
        <v>0</v>
      </c>
      <c r="N146" s="89">
        <f>SUM(N25:N40)</f>
        <v>0</v>
      </c>
      <c r="O146" s="89">
        <f>SUM(O25:O40)</f>
        <v>0</v>
      </c>
      <c r="P146" s="89"/>
      <c r="Q146" s="89">
        <f>SUM(Q25:Q40)</f>
        <v>0</v>
      </c>
      <c r="R146" s="89">
        <f>SUM(R25:R40)</f>
        <v>0</v>
      </c>
      <c r="S146" s="89">
        <f>SUM(S25:S40)</f>
        <v>0</v>
      </c>
      <c r="T146" s="86">
        <f t="shared" si="18"/>
        <v>0</v>
      </c>
      <c r="U146" s="86">
        <f t="shared" ref="U146" si="62">U145</f>
        <v>0</v>
      </c>
      <c r="V146" s="89">
        <f t="shared" si="19"/>
        <v>0</v>
      </c>
      <c r="W146" s="87"/>
      <c r="X146" s="86">
        <f t="shared" ref="X146:Y146" si="63">X145</f>
        <v>0</v>
      </c>
      <c r="Y146" s="86">
        <f t="shared" si="63"/>
        <v>0</v>
      </c>
      <c r="Z146" s="90">
        <f t="shared" si="32"/>
        <v>0</v>
      </c>
      <c r="AA146" s="91"/>
    </row>
    <row r="147" spans="1:27" ht="20.25" customHeight="1" x14ac:dyDescent="0.25">
      <c r="B147" s="20"/>
      <c r="F147" s="9"/>
      <c r="G147" s="10"/>
      <c r="H147" s="10"/>
      <c r="I147" s="17"/>
      <c r="J147" s="10"/>
      <c r="K147" s="10"/>
      <c r="L147" s="10"/>
    </row>
    <row r="148" spans="1:27" x14ac:dyDescent="0.25">
      <c r="A148" s="5"/>
      <c r="B148" s="8"/>
      <c r="C148" s="5"/>
      <c r="D148" s="5"/>
      <c r="E148" s="6"/>
      <c r="F148" s="9"/>
      <c r="G148" s="11"/>
      <c r="H148" s="10"/>
      <c r="I148" s="17"/>
      <c r="J148" s="10"/>
      <c r="K148" s="10"/>
      <c r="L148" s="10"/>
      <c r="M148" s="6"/>
      <c r="N148" s="5"/>
      <c r="O148" s="13"/>
      <c r="P148" s="5"/>
    </row>
    <row r="149" spans="1:27" x14ac:dyDescent="0.25">
      <c r="A149" s="5"/>
      <c r="B149" s="8" t="s">
        <v>56</v>
      </c>
      <c r="C149" s="5"/>
      <c r="D149" s="5"/>
      <c r="E149" s="7"/>
      <c r="F149" s="11"/>
      <c r="G149" s="11"/>
      <c r="H149" s="11">
        <f>H11-H141</f>
        <v>0</v>
      </c>
      <c r="I149" s="18">
        <f>I17-I122</f>
        <v>0</v>
      </c>
      <c r="J149" s="11">
        <f>J17-J122</f>
        <v>0</v>
      </c>
      <c r="K149" s="11">
        <f>K17-K122</f>
        <v>0</v>
      </c>
      <c r="L149" s="11">
        <f>L17-L122</f>
        <v>0</v>
      </c>
      <c r="M149" s="14" t="e">
        <f>L141-L142-L143-#REF!</f>
        <v>#REF!</v>
      </c>
      <c r="N149" s="5"/>
      <c r="O149" s="13"/>
      <c r="P149" s="5"/>
    </row>
    <row r="150" spans="1:27" x14ac:dyDescent="0.25">
      <c r="A150" s="5"/>
      <c r="B150" s="8" t="s">
        <v>58</v>
      </c>
      <c r="C150" s="5"/>
      <c r="D150" s="5"/>
      <c r="E150" s="6"/>
      <c r="F150" s="9"/>
      <c r="G150" s="11"/>
      <c r="H150" s="11">
        <f>H13-H142</f>
        <v>390970.00000000047</v>
      </c>
      <c r="I150" s="18">
        <f>I19-I49-I57</f>
        <v>0</v>
      </c>
      <c r="J150" s="11">
        <f>J19-J49-J57</f>
        <v>0</v>
      </c>
      <c r="K150" s="11">
        <f>K19-K49-K57</f>
        <v>0</v>
      </c>
      <c r="L150" s="11">
        <f>L19-L49-L57</f>
        <v>0</v>
      </c>
      <c r="M150" s="6"/>
      <c r="N150" s="5"/>
      <c r="O150" s="13"/>
      <c r="P150" s="5"/>
    </row>
    <row r="151" spans="1:27" x14ac:dyDescent="0.25">
      <c r="A151" s="5"/>
      <c r="B151" s="8" t="s">
        <v>59</v>
      </c>
      <c r="C151" s="5"/>
      <c r="D151" s="5"/>
      <c r="E151" s="6"/>
      <c r="F151" s="9"/>
      <c r="G151" s="12"/>
      <c r="H151" s="11">
        <f>H15-H143</f>
        <v>0</v>
      </c>
      <c r="I151" s="18">
        <f>I18-I28-I36-I40-I65-I94-I95-I96-I97-I98-I99-I115-I129-I131</f>
        <v>0</v>
      </c>
      <c r="J151" s="11">
        <f>J18-J28-J36-J40-J65-J94-J95-J96-J97-J98-J99-J115-J129-J131</f>
        <v>0</v>
      </c>
      <c r="K151" s="11">
        <f>K18-K28-K36-K40-K65-K94-K95-K96-K97-K98-K99-K115-K129-K131</f>
        <v>0</v>
      </c>
      <c r="L151" s="11">
        <f>L18-L28-L36-L40-L65-L94-L95-L96-L97-L98-L99-L115-L129-L131</f>
        <v>3.4106051316484809E-12</v>
      </c>
      <c r="M151" s="6"/>
      <c r="N151" s="5"/>
      <c r="O151" s="13"/>
      <c r="P151" s="5"/>
    </row>
    <row r="152" spans="1:27" x14ac:dyDescent="0.25">
      <c r="A152" s="5"/>
      <c r="B152" s="5"/>
      <c r="C152" s="5"/>
      <c r="D152" s="5"/>
      <c r="E152" s="6"/>
      <c r="F152" s="9"/>
      <c r="G152" s="10"/>
      <c r="H152" s="11">
        <f>H16</f>
        <v>227405.37000000011</v>
      </c>
      <c r="I152" s="17"/>
      <c r="J152" s="10"/>
      <c r="K152" s="11"/>
      <c r="L152" s="10"/>
      <c r="M152" s="6"/>
      <c r="N152" s="5"/>
      <c r="O152" s="13"/>
      <c r="P152" s="5"/>
    </row>
    <row r="153" spans="1:27" x14ac:dyDescent="0.25">
      <c r="A153" s="5"/>
      <c r="B153" s="5"/>
      <c r="C153" s="5"/>
      <c r="D153" s="5"/>
      <c r="E153" s="6"/>
      <c r="F153" s="9"/>
      <c r="G153" s="11"/>
      <c r="H153" s="11"/>
      <c r="I153" s="17"/>
      <c r="J153" s="10"/>
      <c r="K153" s="11">
        <f>K22-K144</f>
        <v>0</v>
      </c>
      <c r="L153" s="10"/>
      <c r="M153" s="6"/>
      <c r="N153" s="5"/>
      <c r="O153" s="13"/>
      <c r="P153" s="5"/>
    </row>
    <row r="154" spans="1:27" x14ac:dyDescent="0.25">
      <c r="A154" s="5"/>
      <c r="B154" s="5"/>
      <c r="C154" s="5" t="s">
        <v>83</v>
      </c>
      <c r="D154" s="5"/>
      <c r="E154" s="6"/>
      <c r="F154" s="9"/>
      <c r="G154" s="10"/>
      <c r="H154" s="10"/>
      <c r="I154" s="17"/>
      <c r="J154" s="10"/>
      <c r="K154" s="10"/>
      <c r="L154" s="10"/>
      <c r="M154" s="6"/>
      <c r="N154" s="5"/>
      <c r="O154" s="13"/>
      <c r="P154" s="5"/>
    </row>
    <row r="155" spans="1:27" x14ac:dyDescent="0.25">
      <c r="A155" s="5"/>
      <c r="B155" s="5"/>
      <c r="C155" s="5"/>
      <c r="D155" s="5" t="s">
        <v>97</v>
      </c>
      <c r="E155" s="6"/>
      <c r="F155" s="9"/>
      <c r="G155" s="10"/>
      <c r="H155" s="10"/>
      <c r="I155" s="17"/>
      <c r="J155" s="10"/>
      <c r="K155" s="10"/>
      <c r="L155" s="10"/>
      <c r="M155" s="6"/>
      <c r="N155" s="5"/>
      <c r="O155" s="5"/>
      <c r="P155" s="5"/>
    </row>
    <row r="156" spans="1:27" x14ac:dyDescent="0.25">
      <c r="A156" s="5"/>
      <c r="B156" s="5"/>
      <c r="C156" s="5"/>
      <c r="D156" s="5"/>
      <c r="E156" s="6"/>
      <c r="F156" s="9"/>
      <c r="G156" s="10"/>
      <c r="H156" s="10"/>
      <c r="I156" s="17"/>
      <c r="J156" s="10"/>
      <c r="K156" s="10"/>
      <c r="L156" s="10"/>
      <c r="M156" s="6"/>
      <c r="N156" s="5"/>
      <c r="O156" s="5"/>
      <c r="P156" s="5"/>
    </row>
    <row r="157" spans="1:27" x14ac:dyDescent="0.25">
      <c r="A157" s="5"/>
      <c r="B157" s="5"/>
      <c r="C157" s="5"/>
      <c r="D157" s="5"/>
      <c r="E157" s="6"/>
      <c r="F157" s="9"/>
      <c r="G157" s="10"/>
      <c r="H157" s="10"/>
      <c r="I157" s="17"/>
      <c r="J157" s="10"/>
      <c r="K157" s="10"/>
      <c r="L157" s="10"/>
      <c r="M157" s="6"/>
      <c r="N157" s="5"/>
      <c r="O157" s="5"/>
      <c r="P157" s="5"/>
    </row>
    <row r="158" spans="1:27" x14ac:dyDescent="0.25">
      <c r="A158" s="5"/>
      <c r="B158" s="5"/>
      <c r="C158" s="5"/>
      <c r="D158" s="5"/>
      <c r="E158" s="6"/>
      <c r="F158" s="9"/>
      <c r="G158" s="10"/>
      <c r="H158" s="10"/>
      <c r="I158" s="17"/>
      <c r="J158" s="10"/>
      <c r="K158" s="10"/>
      <c r="L158" s="10"/>
      <c r="M158" s="6"/>
      <c r="N158" s="5"/>
      <c r="O158" s="5"/>
      <c r="P158" s="5"/>
    </row>
    <row r="159" spans="1:27" x14ac:dyDescent="0.25">
      <c r="A159" s="5"/>
      <c r="B159" s="5"/>
      <c r="C159" s="5"/>
      <c r="D159" s="5"/>
      <c r="E159" s="6"/>
      <c r="F159" s="9"/>
      <c r="G159" s="10"/>
      <c r="H159" s="10"/>
      <c r="I159" s="17"/>
      <c r="J159" s="10"/>
      <c r="K159" s="10"/>
      <c r="L159" s="10"/>
      <c r="M159" s="6"/>
      <c r="N159" s="5"/>
      <c r="O159" s="5"/>
      <c r="P159" s="5"/>
    </row>
    <row r="160" spans="1:27" x14ac:dyDescent="0.25">
      <c r="A160" s="5"/>
      <c r="B160" s="5"/>
      <c r="C160" s="5"/>
      <c r="D160" s="5"/>
      <c r="E160" s="6"/>
      <c r="F160" s="6"/>
      <c r="G160" s="5"/>
      <c r="H160" s="5"/>
      <c r="I160" s="19"/>
      <c r="J160" s="5"/>
      <c r="K160" s="5"/>
      <c r="L160" s="5"/>
      <c r="M160" s="6"/>
      <c r="N160" s="5"/>
      <c r="O160" s="5"/>
      <c r="P160" s="5"/>
    </row>
  </sheetData>
  <autoFilter ref="A7:AA14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28">
    <mergeCell ref="A7:A10"/>
    <mergeCell ref="B7:B10"/>
    <mergeCell ref="C7:C10"/>
    <mergeCell ref="D7:D10"/>
    <mergeCell ref="E7:L7"/>
    <mergeCell ref="E8:E10"/>
    <mergeCell ref="F8:L8"/>
    <mergeCell ref="F9:H9"/>
    <mergeCell ref="I9:K9"/>
    <mergeCell ref="L9:L10"/>
    <mergeCell ref="X1:Z1"/>
    <mergeCell ref="X2:Z2"/>
    <mergeCell ref="A3:V3"/>
    <mergeCell ref="A4:V4"/>
    <mergeCell ref="D5:O5"/>
    <mergeCell ref="AA7:AA10"/>
    <mergeCell ref="U8:Z8"/>
    <mergeCell ref="W9:Y9"/>
    <mergeCell ref="Z9:Z10"/>
    <mergeCell ref="M8:M10"/>
    <mergeCell ref="N8:S8"/>
    <mergeCell ref="T8:T10"/>
    <mergeCell ref="S9:S10"/>
    <mergeCell ref="N9:O9"/>
    <mergeCell ref="P9:R9"/>
    <mergeCell ref="U9:V9"/>
    <mergeCell ref="M7:S7"/>
    <mergeCell ref="T7:Z7"/>
  </mergeCells>
  <pageMargins left="0.78740157480314965" right="0.78740157480314965" top="1.1811023622047245" bottom="0.39370078740157483" header="0.31496062992125984" footer="0.31496062992125984"/>
  <pageSetup paperSize="9" scale="2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4 1 (2)</vt:lpstr>
      <vt:lpstr>Приложение 4 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2024-04-12T11:01:50Z</dcterms:modified>
</cp:coreProperties>
</file>